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abCNuYS52gcN1pIMWI6kcuP5QqNpc30tlEcUhcVRHnWIPAgeW3zAT+4pxBSrGKkIkKSvWEoQq4p4foF0L1xl3g==" workbookSaltValue="fjO3P9yEH+USKmqqNNSs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T31" i="8"/>
  <c r="H28" i="2"/>
  <c r="AL21" i="11"/>
  <c r="L17" i="14"/>
  <c r="R13" i="17"/>
  <c r="P13" i="14"/>
  <c r="BF16" i="13"/>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AM22" i="11"/>
  <c r="AM13" i="11"/>
  <c r="AP14" i="21"/>
  <c r="AM9" i="11"/>
  <c r="V16" i="20"/>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<sst xmlns="http://schemas.openxmlformats.org/spreadsheetml/2006/main" count="2682" uniqueCount="1193">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</sst>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0bej4c66rwdN76ykkOGx4eZoG89Lpd6MaAEEQxIdDlkbBHCM//oHrp1zM1wR0EJj5ngbdb21L99zm3CV97Gvw==" saltValue="aMiZVYoZQ+QjwR7gUY/2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3</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23.941176470588232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417</v>
      </c>
      <c r="D17" s="239">
        <f>IF(ISNUMBER(IF(D_I="SI",Datos!I17,Datos!I17+Datos!AC17)),IF(D_I="SI",Datos!I17,Datos!I17+Datos!AC17)," - ")</f>
        <v>413</v>
      </c>
      <c r="E17" s="240">
        <f>IF(ISNUMBER(IF(D_I="SI",Datos!J17,Datos!J17+Datos!AD17)),IF(D_I="SI",Datos!J17,Datos!J17+Datos!AD17)," - ")</f>
        <v>189</v>
      </c>
      <c r="F17" s="240">
        <f>IF(ISNUMBER(IF(D_I="SI",Datos!K17,Datos!K17+Datos!AE17)),IF(D_I="SI",Datos!K17,Datos!K17+Datos!AE17)," - ")</f>
        <v>206</v>
      </c>
      <c r="G17" s="1390" t="str">
        <f>IF(Datos!E17&lt;&gt;"",Datos!E17,Datos!D17)</f>
        <v>04</v>
      </c>
      <c r="H17" s="241">
        <f>IF(ISNUMBER(IF(D_I="SI",Datos!L17,Datos!L17+Datos!AF17)),IF(D_I="SI",Datos!L17,Datos!L17+Datos!AF17)," - ")</f>
        <v>400</v>
      </c>
      <c r="I17" s="1400" t="str">
        <f>IF(ISNUMBER(Datos!AS17/Datos!BM17),Datos!AS17/Datos!BM17," - ")</f>
        <v xml:space="preserve"> - </v>
      </c>
      <c r="J17" s="1401">
        <f>IF(ISNUMBER(Datos!BY17/Datos!CN17),Datos!BY17/Datos!CN17," - ")</f>
        <v>0</v>
      </c>
      <c r="K17" s="244">
        <f t="shared" si="3"/>
        <v>-4.0767386091127102E-2</v>
      </c>
      <c r="L17" s="1402">
        <f>IF(ISNUMBER(NºAsuntos!I17/NºAsuntos!G17),(NºAsuntos!I17/NºAsuntos!G17)*11," - ")</f>
        <v>21.359223300970875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11</v>
      </c>
      <c r="E18" s="240">
        <f>IF(ISNUMBER(IF(D_I="SI",Datos!J18,Datos!J18+Datos!AD18)),IF(D_I="SI",Datos!J18,Datos!J18+Datos!AD18)," - ")</f>
        <v>13</v>
      </c>
      <c r="F18" s="240">
        <f>IF(ISNUMBER(IF(D_I="SI",Datos!K18,Datos!K18+Datos!AE18)),IF(D_I="SI",Datos!K18,Datos!K18+Datos!AE18)," - ")</f>
        <v>11</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429</v>
      </c>
      <c r="D23" s="1407">
        <f>SUBTOTAL(9,D16:D22)</f>
        <v>424</v>
      </c>
      <c r="E23" s="1408">
        <f>SUBTOTAL(9,E16:E22)</f>
        <v>202</v>
      </c>
      <c r="F23" s="1408">
        <f>SUBTOTAL(9,F16:F22)</f>
        <v>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437</v>
      </c>
      <c r="D31" s="1435">
        <f>SUBTOTAL(9,D9:D30)</f>
        <v>432</v>
      </c>
      <c r="E31" s="1436">
        <f>SUBTOTAL(9,E9:E30)</f>
        <v>203</v>
      </c>
      <c r="F31" s="1436">
        <f>SUBTOTAL(9,F9:F30)</f>
        <v>220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wbTvU+dkdGaF7cHoneRPAAz26qlSSCKCzyj6RzQB9KvbaJ+cUAK9pCLndnss99dWdy+7FYfRFe/Vwke6u0JAQ==" saltValue="Fjk3B1jivlycSnervcUo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sA3RJceRJpzYMc9nBkkSms1oQCT6kF24mho3mRc+LbRzkY4KWkSlJ8KAYdAc35rwYhx28y8rp2OeVvdquTVUQ==" saltValue="QEyzR/H+k330ULgobG0r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3</v>
      </c>
      <c r="L10" s="194">
        <v>6</v>
      </c>
      <c r="M10" s="194">
        <v>0</v>
      </c>
      <c r="N10" s="194">
        <v>1</v>
      </c>
      <c r="O10" s="194">
        <v>2</v>
      </c>
      <c r="P10" s="194">
        <v>0</v>
      </c>
      <c r="Q10" s="194">
        <v>0</v>
      </c>
      <c r="R10" s="194">
        <v>2</v>
      </c>
      <c r="S10" s="194">
        <v>6</v>
      </c>
      <c r="T10" s="194">
        <v>2</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1</v>
      </c>
      <c r="BB10" s="139">
        <f t="shared" si="0"/>
        <v>7</v>
      </c>
      <c r="BC10" s="135">
        <f t="shared" si="0"/>
        <v>1</v>
      </c>
      <c r="BD10" s="136">
        <f>IF(ISNUMBER(BA10/AZ10),BA10/AZ10," - ")</f>
        <v>0.5</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381</v>
      </c>
      <c r="J12" s="196">
        <v>122</v>
      </c>
      <c r="K12" s="196">
        <v>153</v>
      </c>
      <c r="L12" s="196">
        <v>350</v>
      </c>
      <c r="M12" s="196">
        <v>25</v>
      </c>
      <c r="N12" s="196">
        <v>46</v>
      </c>
      <c r="O12" s="194">
        <v>116</v>
      </c>
      <c r="P12" s="196">
        <v>31</v>
      </c>
      <c r="Q12" s="196">
        <v>117</v>
      </c>
      <c r="R12" s="196">
        <v>712</v>
      </c>
      <c r="S12" s="196">
        <v>320</v>
      </c>
      <c r="T12" s="196">
        <v>156</v>
      </c>
      <c r="U12" s="196">
        <v>176</v>
      </c>
      <c r="V12" s="196">
        <v>300</v>
      </c>
      <c r="W12" s="196">
        <v>29</v>
      </c>
      <c r="X12" s="202">
        <v>73</v>
      </c>
      <c r="Y12" s="204">
        <v>17</v>
      </c>
      <c r="Z12" s="194">
        <v>20</v>
      </c>
      <c r="AA12" s="194">
        <v>17</v>
      </c>
      <c r="AB12" s="194">
        <v>20</v>
      </c>
      <c r="AC12" s="196">
        <v>0</v>
      </c>
      <c r="AD12" s="196">
        <v>0</v>
      </c>
      <c r="AE12" s="196">
        <v>0</v>
      </c>
      <c r="AF12" s="202">
        <v>0</v>
      </c>
      <c r="AG12" s="215">
        <v>16</v>
      </c>
      <c r="AH12" s="196">
        <v>17</v>
      </c>
      <c r="AI12" s="196">
        <v>14</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336</v>
      </c>
      <c r="AZ12" s="137">
        <f t="shared" si="1"/>
        <v>173</v>
      </c>
      <c r="BA12" s="137">
        <f t="shared" si="1"/>
        <v>190</v>
      </c>
      <c r="BB12" s="137">
        <f t="shared" si="1"/>
        <v>319</v>
      </c>
      <c r="BC12" s="135">
        <f>IF(ISNUMBER(X12),X12," - ")</f>
        <v>73</v>
      </c>
      <c r="BD12" s="136">
        <f t="shared" si="2"/>
        <v>1.0982658959537572</v>
      </c>
      <c r="BE12" s="137">
        <f t="shared" si="3"/>
        <v>1.6789473684210525</v>
      </c>
      <c r="BF12" s="137">
        <f t="shared" si="4"/>
        <v>0.38421052631578945</v>
      </c>
      <c r="BG12" s="209">
        <f t="shared" si="5"/>
        <v>2.6789473684210527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v>
      </c>
      <c r="J14" s="197">
        <f t="shared" si="7"/>
        <v>123</v>
      </c>
      <c r="K14" s="197">
        <f t="shared" si="7"/>
        <v>156</v>
      </c>
      <c r="L14" s="197">
        <f t="shared" si="7"/>
        <v>356</v>
      </c>
      <c r="M14" s="197">
        <f t="shared" si="7"/>
        <v>25</v>
      </c>
      <c r="N14" s="197">
        <f t="shared" si="7"/>
        <v>47</v>
      </c>
      <c r="O14" s="197">
        <f t="shared" si="7"/>
        <v>118</v>
      </c>
      <c r="P14" s="197">
        <f t="shared" si="7"/>
        <v>31</v>
      </c>
      <c r="Q14" s="197">
        <f t="shared" si="7"/>
        <v>117</v>
      </c>
      <c r="R14" s="197">
        <f t="shared" si="7"/>
        <v>714</v>
      </c>
      <c r="S14" s="197">
        <f t="shared" si="7"/>
        <v>326</v>
      </c>
      <c r="T14" s="197">
        <f t="shared" si="7"/>
        <v>158</v>
      </c>
      <c r="U14" s="197">
        <f t="shared" si="7"/>
        <v>177</v>
      </c>
      <c r="V14" s="197">
        <f t="shared" si="7"/>
        <v>307</v>
      </c>
      <c r="W14" s="197">
        <f t="shared" si="7"/>
        <v>30</v>
      </c>
      <c r="X14" s="197">
        <f t="shared" si="7"/>
        <v>73</v>
      </c>
      <c r="Y14" s="197">
        <f t="shared" si="7"/>
        <v>17</v>
      </c>
      <c r="Z14" s="197">
        <f t="shared" si="7"/>
        <v>20</v>
      </c>
      <c r="AA14" s="197">
        <f t="shared" si="7"/>
        <v>17</v>
      </c>
      <c r="AB14" s="197">
        <f t="shared" si="7"/>
        <v>20</v>
      </c>
      <c r="AC14" s="197">
        <f t="shared" si="7"/>
        <v>0</v>
      </c>
      <c r="AD14" s="197">
        <f t="shared" si="7"/>
        <v>0</v>
      </c>
      <c r="AE14" s="197">
        <f t="shared" si="7"/>
        <v>0</v>
      </c>
      <c r="AF14" s="197">
        <f>SUBTOTAL(9,AF9:AF13)</f>
        <v>0</v>
      </c>
      <c r="AG14" s="197">
        <f t="shared" ref="AG14:AT14" si="8">SUBTOTAL(9,AG8:AG13)</f>
        <v>16</v>
      </c>
      <c r="AH14" s="197">
        <f t="shared" si="8"/>
        <v>17</v>
      </c>
      <c r="AI14" s="197">
        <f t="shared" si="8"/>
        <v>14</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342</v>
      </c>
      <c r="AZ14" s="197">
        <f>SUBTOTAL(9,AZ8:AZ13)</f>
        <v>175</v>
      </c>
      <c r="BA14" s="197">
        <f>SUBTOTAL(9,BA8:BA13)</f>
        <v>191</v>
      </c>
      <c r="BB14" s="197">
        <f>SUBTOTAL(9,BB8:BB13)</f>
        <v>326</v>
      </c>
      <c r="BC14" s="197">
        <f>SUBTOTAL(9,BC8:BC13)</f>
        <v>74</v>
      </c>
      <c r="BD14" s="219">
        <f>IF(ISNUMBER(BA14/AZ14),BA14/AZ14," - ")</f>
        <v>1.0914285714285714</v>
      </c>
      <c r="BE14" s="220">
        <f>IF(ISNUMBER(BB14/BA14),BB14/BA14, " - ")</f>
        <v>1.706806282722513</v>
      </c>
      <c r="BF14" s="220">
        <f>IF(ISNUMBER(BC14/BA14),BC14/BA14, " - ")</f>
        <v>0.38743455497382201</v>
      </c>
      <c r="BG14" s="221">
        <f>IF(ISNUMBER((AY14+AZ14)/BA14),(AY14+AZ14)/BA14," - ")</f>
        <v>2.7068062827225132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413</v>
      </c>
      <c r="J17" s="196">
        <v>189</v>
      </c>
      <c r="K17" s="196">
        <v>206</v>
      </c>
      <c r="L17" s="196">
        <v>400</v>
      </c>
      <c r="M17" s="196">
        <v>44</v>
      </c>
      <c r="N17" s="196">
        <v>112</v>
      </c>
      <c r="O17" s="194">
        <v>0</v>
      </c>
      <c r="P17" s="196">
        <v>9</v>
      </c>
      <c r="Q17" s="196">
        <v>6</v>
      </c>
      <c r="R17" s="196">
        <v>15</v>
      </c>
      <c r="S17" s="196">
        <v>428</v>
      </c>
      <c r="T17" s="196">
        <v>156</v>
      </c>
      <c r="U17" s="196">
        <v>147</v>
      </c>
      <c r="V17" s="196">
        <v>437</v>
      </c>
      <c r="W17" s="196">
        <v>12</v>
      </c>
      <c r="X17" s="202">
        <v>107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428</v>
      </c>
      <c r="AZ17" s="137">
        <f t="shared" si="10"/>
        <v>156</v>
      </c>
      <c r="BA17" s="137">
        <f t="shared" si="10"/>
        <v>147</v>
      </c>
      <c r="BB17" s="137">
        <f t="shared" si="10"/>
        <v>437</v>
      </c>
      <c r="BC17" s="135">
        <f>IF(ISNUMBER(W17),W17," - ")</f>
        <v>12</v>
      </c>
      <c r="BD17" s="136">
        <f t="shared" ref="BD17:BD22" si="12">IF(ISNUMBER(BA17/AZ17),BA17/AZ17," - ")</f>
        <v>0.94230769230769229</v>
      </c>
      <c r="BE17" s="137">
        <f t="shared" ref="BE17:BE22" si="13">IF(ISNUMBER(BB17/BA17),BB17/BA17, " - ")</f>
        <v>2.9727891156462585</v>
      </c>
      <c r="BF17" s="137">
        <f t="shared" ref="BF17:BF22" si="14">IF(ISNUMBER(BC17/BA17),BC17/BA17, " - ")</f>
        <v>8.1632653061224483E-2</v>
      </c>
      <c r="BG17" s="209">
        <f t="shared" si="11"/>
        <v>3.9727891156462585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13</v>
      </c>
      <c r="K18" s="196">
        <v>11</v>
      </c>
      <c r="L18" s="196">
        <v>14</v>
      </c>
      <c r="M18" s="196">
        <v>5</v>
      </c>
      <c r="N18" s="196">
        <v>1</v>
      </c>
      <c r="O18" s="196">
        <v>0</v>
      </c>
      <c r="P18" s="196">
        <v>1</v>
      </c>
      <c r="Q18" s="196">
        <v>0</v>
      </c>
      <c r="R18" s="196">
        <v>1</v>
      </c>
      <c r="S18" s="196">
        <v>16</v>
      </c>
      <c r="T18" s="196">
        <v>11</v>
      </c>
      <c r="U18" s="196">
        <v>11</v>
      </c>
      <c r="V18" s="196">
        <v>16</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11</v>
      </c>
      <c r="BA18" s="139">
        <f t="shared" si="15"/>
        <v>11</v>
      </c>
      <c r="BB18" s="139">
        <f t="shared" si="15"/>
        <v>16</v>
      </c>
      <c r="BC18" s="135">
        <f>IF(ISNUMBER(W18),W18," - ")</f>
        <v>3</v>
      </c>
      <c r="BD18" s="136">
        <f>IF(ISNUMBER(BA18/AZ18),BA18/AZ18," - ")</f>
        <v>1</v>
      </c>
      <c r="BE18" s="137">
        <f>IF(ISNUMBER(BB18/BA18),BB18/BA18, " - ")</f>
        <v>1.4545454545454546</v>
      </c>
      <c r="BF18" s="137">
        <f>IF(ISNUMBER(BC18/BA18),BC18/BA18, " - ")</f>
        <v>0.27272727272727271</v>
      </c>
      <c r="BG18" s="209">
        <f>IF(ISNUMBER((AY18+AZ18)/BA18),(AY18+AZ18)/BA18," - ")</f>
        <v>2.4545454545454546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424</v>
      </c>
      <c r="J23" s="197">
        <f t="shared" si="21"/>
        <v>202</v>
      </c>
      <c r="K23" s="197">
        <f t="shared" si="21"/>
        <v>217</v>
      </c>
      <c r="L23" s="197">
        <f t="shared" si="21"/>
        <v>414</v>
      </c>
      <c r="M23" s="197">
        <f t="shared" si="21"/>
        <v>49</v>
      </c>
      <c r="N23" s="197">
        <f t="shared" si="21"/>
        <v>113</v>
      </c>
      <c r="O23" s="197">
        <f t="shared" si="21"/>
        <v>0</v>
      </c>
      <c r="P23" s="197">
        <f t="shared" si="21"/>
        <v>10</v>
      </c>
      <c r="Q23" s="197">
        <f t="shared" si="21"/>
        <v>6</v>
      </c>
      <c r="R23" s="197">
        <f t="shared" si="21"/>
        <v>16</v>
      </c>
      <c r="S23" s="197">
        <f t="shared" si="21"/>
        <v>444</v>
      </c>
      <c r="T23" s="197">
        <f t="shared" si="21"/>
        <v>167</v>
      </c>
      <c r="U23" s="197">
        <f t="shared" si="21"/>
        <v>158</v>
      </c>
      <c r="V23" s="197">
        <f t="shared" si="21"/>
        <v>453</v>
      </c>
      <c r="W23" s="197">
        <f t="shared" si="21"/>
        <v>15</v>
      </c>
      <c r="X23" s="197">
        <f t="shared" si="21"/>
        <v>113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444</v>
      </c>
      <c r="AZ23" s="197">
        <f>SUBTOTAL(9,AZ15:AZ22)</f>
        <v>167</v>
      </c>
      <c r="BA23" s="197">
        <f>SUBTOTAL(9,BA15:BA22)</f>
        <v>158</v>
      </c>
      <c r="BB23" s="197">
        <f>SUBTOTAL(9,BB15:BB22)</f>
        <v>453</v>
      </c>
      <c r="BC23" s="197">
        <f>SUBTOTAL(9,BC15:BC22)</f>
        <v>15</v>
      </c>
      <c r="BD23" s="219">
        <f>IF(ISNUMBER(BA23/AZ23),BA23/AZ23," - ")</f>
        <v>0.94610778443113774</v>
      </c>
      <c r="BE23" s="220">
        <f>IF(ISNUMBER(BB23/BA23),BB23/BA23, " - ")</f>
        <v>2.8670886075949369</v>
      </c>
      <c r="BF23" s="220">
        <f>IF(ISNUMBER(BC23/BA23),BC23/BA23, " - ")</f>
        <v>9.49367088607595E-2</v>
      </c>
      <c r="BG23" s="221">
        <f>IF(ISNUMBER((AY23+AZ23)/BA23),(AY23+AZ23)/BA23," - ")</f>
        <v>3.8670886075949369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813</v>
      </c>
      <c r="J31" s="144">
        <f t="shared" si="36"/>
        <v>325</v>
      </c>
      <c r="K31" s="144">
        <f t="shared" si="36"/>
        <v>373</v>
      </c>
      <c r="L31" s="144">
        <f t="shared" si="36"/>
        <v>770</v>
      </c>
      <c r="M31" s="144">
        <f t="shared" si="36"/>
        <v>74</v>
      </c>
      <c r="N31" s="144">
        <f t="shared" si="36"/>
        <v>160</v>
      </c>
      <c r="O31" s="144">
        <f t="shared" si="36"/>
        <v>118</v>
      </c>
      <c r="P31" s="144">
        <f t="shared" si="36"/>
        <v>41</v>
      </c>
      <c r="Q31" s="144">
        <f t="shared" si="36"/>
        <v>123</v>
      </c>
      <c r="R31" s="144">
        <f t="shared" si="36"/>
        <v>730</v>
      </c>
      <c r="S31" s="144">
        <f t="shared" si="36"/>
        <v>770</v>
      </c>
      <c r="T31" s="144">
        <f t="shared" si="36"/>
        <v>325</v>
      </c>
      <c r="U31" s="144">
        <f t="shared" si="36"/>
        <v>335</v>
      </c>
      <c r="V31" s="144">
        <f t="shared" si="36"/>
        <v>760</v>
      </c>
      <c r="W31" s="144">
        <f t="shared" si="36"/>
        <v>45</v>
      </c>
      <c r="X31" s="144">
        <f t="shared" si="36"/>
        <v>186</v>
      </c>
      <c r="Y31" s="144">
        <f t="shared" si="36"/>
        <v>17</v>
      </c>
      <c r="Z31" s="144">
        <f t="shared" si="36"/>
        <v>20</v>
      </c>
      <c r="AA31" s="144">
        <f t="shared" si="36"/>
        <v>17</v>
      </c>
      <c r="AB31" s="144">
        <f t="shared" si="36"/>
        <v>20</v>
      </c>
      <c r="AC31" s="144">
        <f t="shared" si="36"/>
        <v>0</v>
      </c>
      <c r="AD31" s="144">
        <f t="shared" si="36"/>
        <v>0</v>
      </c>
      <c r="AE31" s="144">
        <f t="shared" si="36"/>
        <v>0</v>
      </c>
      <c r="AF31" s="144">
        <f t="shared" si="36"/>
        <v>0</v>
      </c>
      <c r="AG31" s="144">
        <f t="shared" si="36"/>
        <v>16</v>
      </c>
      <c r="AH31" s="144">
        <f t="shared" si="36"/>
        <v>17</v>
      </c>
      <c r="AI31" s="144">
        <f t="shared" si="36"/>
        <v>14</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786</v>
      </c>
      <c r="AZ31" s="144">
        <f>SUBTOTAL(9,AZ9:AZ30)</f>
        <v>342</v>
      </c>
      <c r="BA31" s="144">
        <f>SUBTOTAL(9,BA9:BA30)</f>
        <v>349</v>
      </c>
      <c r="BB31" s="144">
        <f>SUBTOTAL(9,BB9:BB30)</f>
        <v>779</v>
      </c>
      <c r="BC31" s="145">
        <f>SUBTOTAL(9,BC9:BC30)</f>
        <v>89</v>
      </c>
      <c r="BD31" s="227">
        <f>IF(ISNUMBER(BA31/AZ31),BA31/AZ31," - ")</f>
        <v>1.0204678362573099</v>
      </c>
      <c r="BE31" s="224">
        <f>IF(ISNUMBER(BB31/BA31),BB31/BA31, " - ")</f>
        <v>2.2320916905444128</v>
      </c>
      <c r="BF31" s="224">
        <f>IF(ISNUMBER(BC31/BA31),BC31/BA31, " - ")</f>
        <v>0.25501432664756446</v>
      </c>
      <c r="BG31" s="145">
        <f>IF(ISNUMBER((AY31+AZ31)/BA31),(AY31+AZ31)/BA31," - ")</f>
        <v>3.2320916905444128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8f5/M+jmK9XObZrgPzcBJSTalP0BPoXDYWoojgNmWMOdmZ6U1q2XAXm5KXV83kcoScUiHr2IaqEp8VYaLFRaw==" saltValue="vpIJMDOQDkrS+hKozBaW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5/ArtTKqDZV1qCe6yBMPIzxMQpb2i++SwXahVTbkPX9TS4CLkPW8epYk1MzbR05oqltA+KIoh5kcWT7Afdpw==" saltValue="X9uK/5bl7tXA93YDtRDJ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SEBASTIAN DE LA GOMERA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712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1.1971830985915493</v>
      </c>
      <c r="BH12" s="764">
        <f>IF(ISNUMBER(((IF(J_V="SI",Datos!L12/Datos!K12,(Datos!L12+Datos!AB12)/(Datos!K12+Datos!AA12)))*11)/factor_trimestre),((IF(J_V="SI",Datos!L12/Datos!K12,(Datos!L12+Datos!AB12)/(Datos!K12+Datos!AA12)))*11)/factor_trimestre," - ")</f>
        <v>6.5294117647058814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-0.10776942355889724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117</v>
      </c>
      <c r="AD14" s="1198">
        <f t="shared" si="2"/>
        <v>0</v>
      </c>
      <c r="AE14" s="1198">
        <f t="shared" si="2"/>
        <v>0</v>
      </c>
      <c r="AF14" s="1198">
        <f t="shared" si="2"/>
        <v>6</v>
      </c>
      <c r="AG14" s="1198">
        <f t="shared" si="2"/>
        <v>0</v>
      </c>
      <c r="AH14" s="1198">
        <f t="shared" si="2"/>
        <v>20</v>
      </c>
      <c r="AI14" s="1198">
        <f t="shared" si="2"/>
        <v>0</v>
      </c>
      <c r="AJ14" s="1198">
        <f t="shared" si="2"/>
        <v>0</v>
      </c>
      <c r="AK14" s="1198">
        <f t="shared" si="2"/>
        <v>0</v>
      </c>
      <c r="AL14" s="1198">
        <f t="shared" si="2"/>
        <v>0</v>
      </c>
      <c r="AM14" s="1198">
        <f t="shared" si="2"/>
        <v>714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47</v>
      </c>
      <c r="BE14" s="1198">
        <f t="shared" si="2"/>
        <v>0</v>
      </c>
      <c r="BF14" s="1198">
        <f t="shared" si="2"/>
        <v>0</v>
      </c>
      <c r="BG14" s="1198">
        <f>IF(ISNUMBER(Datos!K14/Datos!J14),Datos!K14/Datos!J14," - ")</f>
        <v>1.2682926829268293</v>
      </c>
      <c r="BH14" s="1202">
        <f>IF(ISNUMBER(((Datos!L14/Datos!K14)*11)/factor_trimestre),((Datos!L14/Datos!K14)*11)/factor_trimestre," - ")</f>
        <v>6.8461538461538467</v>
      </c>
      <c r="BI14" s="1198">
        <f>IF(ISNUMBER('Resol  Asuntos'!D14/NºAsuntos!G14),'Resol  Asuntos'!D14/NºAsuntos!G14," - ")</f>
        <v>0.14450867052023122</v>
      </c>
      <c r="BJ14" s="1198" t="str">
        <f>IF(ISNUMBER(Datos!CI14/Datos!CJ14),Datos!CI14/Datos!CJ14," - ")</f>
        <v xml:space="preserve"> - </v>
      </c>
      <c r="BK14" s="1198">
        <f>SUBTOTAL(9,BK8:BK13)</f>
        <v>0</v>
      </c>
      <c r="BL14" s="1198">
        <f>IF(ISNUMBER((I14-AB14+L14)/(F14)),(I14-AB14+L14)/(F14)," - ")</f>
        <v>-0.375</v>
      </c>
      <c r="BM14" s="1203">
        <f>SUBTOTAL(9,BM9:BM13)</f>
        <v>-0.10776942355889724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417</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206</v>
      </c>
      <c r="AC17" s="240">
        <f>IF(ISNUMBER(Datos!Q17),Datos!Q17," - ")</f>
        <v>6</v>
      </c>
      <c r="AD17" s="374"/>
      <c r="AE17" s="562"/>
      <c r="AF17" s="741">
        <f>IF(ISNUMBER(IF(D_I="SI",Datos!L17,Datos!L17+Datos!AF17)),IF(D_I="SI",Datos!L17,Datos!L17+Datos!AF17)," - ")</f>
        <v>400</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112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1.08994708994709</v>
      </c>
      <c r="BH17" s="764">
        <f>IF(ISNUMBER(((IF(D_I="SI",Datos!L17/Datos!K17,(Datos!L17+Datos!AF17)/(Datos!K17+Datos!AE17)))*11)/factor_trimestre),((IF(D_I="SI",Datos!L17/Datos!K17,(Datos!L17+Datos!AF17)/(Datos!K17+Datos!AE17)))*11)/factor_trimestre," - ")</f>
        <v>5.8252427184466029</v>
      </c>
      <c r="BI17" s="266">
        <f>IF(ISNUMBER('Resol  Asuntos'!D17/NºAsuntos!G17),'Resol  Asuntos'!D17/NºAsuntos!G17," - ")</f>
        <v>0.21359223300970873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3.8181818181818183</v>
      </c>
      <c r="BI18" s="763">
        <f>IF(ISNUMBER('Resol  Asuntos'!D18/NºAsuntos!G18),'Resol  Asuntos'!D18/NºAsuntos!G18," - ")</f>
        <v>0.45454545454545453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417</v>
      </c>
      <c r="G23" s="1197">
        <f>SUBTOTAL(9,G16:G22)</f>
        <v>424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v>
      </c>
      <c r="AC23" s="1198">
        <f t="shared" si="5"/>
        <v>6</v>
      </c>
      <c r="AD23" s="1198">
        <f t="shared" si="5"/>
        <v>0</v>
      </c>
      <c r="AE23" s="1198">
        <f t="shared" si="5"/>
        <v>0</v>
      </c>
      <c r="AF23" s="1198">
        <f t="shared" si="5"/>
        <v>414</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113</v>
      </c>
      <c r="BE23" s="1198">
        <f t="shared" si="5"/>
        <v>0</v>
      </c>
      <c r="BF23" s="1198">
        <f t="shared" si="5"/>
        <v>0</v>
      </c>
      <c r="BG23" s="1198">
        <f>IF(ISNUMBER(Datos!K23/Datos!J23),Datos!K23/Datos!J23," - ")</f>
        <v>1.0742574257425743</v>
      </c>
      <c r="BH23" s="1202">
        <f>IF(ISNUMBER(((Datos!L23/Datos!K23)*11)/factor_trimestre),((Datos!L23/Datos!K23)*11)/factor_trimestre," - ")</f>
        <v>5.7235023041474662</v>
      </c>
      <c r="BI23" s="1198">
        <f>SUBTOTAL(9,BI16:BI22)</f>
        <v>0.66813768755516323</v>
      </c>
      <c r="BJ23" s="1198">
        <f>SUBTOTAL(9,BJ16:BJ22)</f>
        <v>0</v>
      </c>
      <c r="BK23" s="1198">
        <f>SUBTOTAL(9,BK16:BK22)</f>
        <v>0</v>
      </c>
      <c r="BL23" s="1198">
        <f>IF(ISNUMBER((I23-AB23+L23)/(F23)),(I23-AB23+L23)/(F23)," - ")</f>
        <v>-0.52038369304556353</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425</v>
      </c>
      <c r="G31" s="1117">
        <f t="shared" si="18"/>
        <v>432</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220</v>
      </c>
      <c r="AC31" s="1118">
        <f t="shared" si="19"/>
        <v>123</v>
      </c>
      <c r="AD31" s="1118">
        <f t="shared" si="19"/>
        <v>0</v>
      </c>
      <c r="AE31" s="1118">
        <f t="shared" si="19"/>
        <v>0</v>
      </c>
      <c r="AF31" s="1125">
        <f t="shared" si="19"/>
        <v>420</v>
      </c>
      <c r="AG31" s="1125">
        <f t="shared" si="19"/>
        <v>0</v>
      </c>
      <c r="AH31" s="1125">
        <f t="shared" si="19"/>
        <v>20</v>
      </c>
      <c r="AI31" s="1125">
        <f t="shared" si="19"/>
        <v>0</v>
      </c>
      <c r="AJ31" s="1118">
        <f t="shared" si="19"/>
        <v>0</v>
      </c>
      <c r="AK31" s="1125">
        <f t="shared" si="19"/>
        <v>0</v>
      </c>
      <c r="AL31" s="1125">
        <f t="shared" si="19"/>
        <v>0</v>
      </c>
      <c r="AM31" s="1125">
        <f t="shared" si="19"/>
        <v>730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160</v>
      </c>
      <c r="BE31" s="1117">
        <f t="shared" si="19"/>
        <v>0</v>
      </c>
      <c r="BF31" s="1127">
        <f t="shared" si="19"/>
        <v>0</v>
      </c>
      <c r="BG31" s="1223">
        <f>IF(ISNUMBER(Datos!K31/Datos!J31),Datos!K31/Datos!J31," - ")</f>
        <v>1.1476923076923078</v>
      </c>
      <c r="BH31" s="1223">
        <f>IF(ISNUMBER(((Datos!L31/Datos!K31)*11)/factor_trimestre),((Datos!L31/Datos!K31)*11)/factor_trimestre," - ")</f>
        <v>6.193029490616623</v>
      </c>
      <c r="BI31" s="1103">
        <f>IF(ISNUMBER(Datos!J31/Datos!I31),Datos!J31/Datos!I31," - ")</f>
        <v>0.39975399753997543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-0.51764705882352946</v>
      </c>
      <c r="BM31" s="1188">
        <f>IF(ISNUMBER((Datos!P31-Datos!Q31+R31)/(Datos!R31-Datos!P31+Datos!Q31-R31)),(Datos!P31-Datos!Q31+R31)/(Datos!R31-Datos!P31+Datos!Q31-R31)," - ")</f>
        <v>-0.10098522167487685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213.30228940793546</v>
      </c>
      <c r="G33" s="674">
        <f>IF(ISNUMBER(STDEV(G8:G30)),STDEV(G8:G30),"-")</f>
        <v>201.63982505353215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101.6586257553986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20.262562241025407</v>
      </c>
      <c r="BD33" s="673"/>
      <c r="BE33" s="673">
        <f>IF(ISNUMBER(STDEV(BE8:BE30)),STDEV(BE8:BE30),"-")</f>
        <v>0</v>
      </c>
      <c r="BF33" s="678">
        <f>IF(ISNUMBER(STDEV(BF8:BF30)),STDEV(BF8:BF30),"-")</f>
        <v>0</v>
      </c>
      <c r="BG33" s="1052">
        <f>IF(ISNUMBER(STDEV(BG8:BG30)),STDEV(BG8:BG30),"-")</f>
        <v>0.79076034766090098</v>
      </c>
      <c r="BH33" s="1058">
        <f>IF(ISNUMBER(STDEV(BH8:BH30)),STDEV(BH8:BH30),"-")</f>
        <v>1.058302471323878</v>
      </c>
      <c r="BI33" s="273">
        <f>IF(ISNUMBER(STDEV(BI8:BI30)),STDEV(BI8:BI30),"-")</f>
        <v>0.2389864641833597</v>
      </c>
      <c r="BJ33" s="244" t="str">
        <f>IF(ISNUMBER(BL33/BM33),BL33/BM33," - ")</f>
        <v xml:space="preserve"> - </v>
      </c>
      <c r="BK33" s="709"/>
      <c r="BL33" s="681">
        <f>IF(ISNUMBER(STDEV(BL8:BL30)),STDEV(BL8:BL30),"-")</f>
        <v>0.10280179522646139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Hjgjkjj13o5RMvio7R1ZgfBDitUXPla14Fj/2nYyOV61dPVatggh7cq7zqb9rV6KGI75JBbOgNyp/mw0trsxw==" saltValue="axIy8baBgj96ZYnA/49V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SEBASTIAN DE LA GOMERA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117</v>
      </c>
      <c r="AA12" s="551" t="str">
        <f>IF(ISNUMBER(IF(J_V="SI",Datos!L12,Datos!L12+Datos!AB12)-IF(Monitorios="SI",Datos!CD12,0)),
                          IF(J_V="SI",Datos!L12,Datos!L12+Datos!AB12)-IF(Monitorios="SI",Datos!CD12,0),
                          " - ")</f>
        <v xml:space="preserve"> - </v>
      </c>
      <c r="AB12" s="549"/>
      <c r="AC12" s="549"/>
      <c r="AD12" s="563"/>
      <c r="AE12" s="563">
        <f>IF(ISNUMBER(Datos!R12),Datos!R12," - ")</f>
        <v>712</v>
      </c>
      <c r="AF12" s="693" t="str">
        <f>IF(ISNUMBER(Datos!BV12),Datos!BV12," - ")</f>
        <v xml:space="preserve"> - </v>
      </c>
      <c r="AG12" s="552" t="str">
        <f>IF(ISNUMBER(Datos!DV12),Datos!DV12," - ")</f>
        <v xml:space="preserve"> - </v>
      </c>
      <c r="AH12" s="553"/>
      <c r="AI12" s="554"/>
      <c r="AJ12" s="552">
        <f>IF(ISNUMBER(Datos!M12),Datos!M12," - ")</f>
        <v>25</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6.5294117647058814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-0.10776942355889724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117</v>
      </c>
      <c r="AA14" s="1199">
        <f t="shared" si="3"/>
        <v>6</v>
      </c>
      <c r="AB14" s="1199">
        <f t="shared" si="3"/>
        <v>0</v>
      </c>
      <c r="AC14" s="1199">
        <f t="shared" si="3"/>
        <v>0</v>
      </c>
      <c r="AD14" s="1199">
        <f t="shared" si="3"/>
        <v>0</v>
      </c>
      <c r="AE14" s="1199">
        <f t="shared" si="3"/>
        <v>714</v>
      </c>
      <c r="AF14" s="1211">
        <f t="shared" si="3"/>
        <v>0</v>
      </c>
      <c r="AG14" s="1211">
        <f t="shared" si="3"/>
        <v>0</v>
      </c>
      <c r="AH14" s="1211">
        <f t="shared" si="3"/>
        <v>0</v>
      </c>
      <c r="AI14" s="1211">
        <f t="shared" si="3"/>
        <v>0</v>
      </c>
      <c r="AJ14" s="1211">
        <f t="shared" si="3"/>
        <v>25</v>
      </c>
      <c r="AK14" s="1211">
        <f t="shared" si="3"/>
        <v>47</v>
      </c>
      <c r="AL14" s="1211">
        <f t="shared" si="3"/>
        <v>0</v>
      </c>
      <c r="AM14" s="1211">
        <f t="shared" si="3"/>
        <v>0</v>
      </c>
      <c r="AN14" s="1211">
        <f t="shared" si="3"/>
        <v>0</v>
      </c>
      <c r="AO14" s="1203">
        <f>IF(ISNUMBER(((NºAsuntos!I14/NºAsuntos!G14)*11)/factor_trimestre),((NºAsuntos!I14/NºAsuntos!G14)*11)/factor_trimestre," - ")</f>
        <v>6.5202312138728322</v>
      </c>
      <c r="AP14" s="1213" t="str">
        <f>IF(ISNUMBER(Datos!CI14/Datos!CJ14),Datos!CI14/Datos!CJ14," - ")</f>
        <v xml:space="preserve"> - </v>
      </c>
      <c r="AQ14" s="1236">
        <f t="shared" ref="AQ14:AV14" si="4">SUBTOTAL(9,AQ9:AQ13)</f>
        <v>0</v>
      </c>
      <c r="AR14" s="1236">
        <f t="shared" si="4"/>
        <v>-0.10776942355889724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417</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206</v>
      </c>
      <c r="Z17" s="805">
        <f>IF(ISNUMBER(Datos!Q17),Datos!Q17," - ")</f>
        <v>6</v>
      </c>
      <c r="AA17" s="551">
        <f>IF(ISNUMBER(IF(D_I="SI",Datos!L17,Datos!L17+Datos!AF17)),IF(D_I="SI",Datos!L17,Datos!L17+Datos!AF17)," - ")</f>
        <v>400</v>
      </c>
      <c r="AB17" s="549"/>
      <c r="AC17" s="549"/>
      <c r="AD17" s="563"/>
      <c r="AE17" s="563">
        <f>IF(ISNUMBER(Datos!R17),Datos!R17," - ")</f>
        <v>15</v>
      </c>
      <c r="AF17" s="693" t="str">
        <f>IF(ISNUMBER(Datos!BV17),Datos!BV17," - ")</f>
        <v xml:space="preserve"> - </v>
      </c>
      <c r="AG17" s="552"/>
      <c r="AH17" s="553"/>
      <c r="AI17" s="554"/>
      <c r="AJ17" s="552">
        <f>IF(ISNUMBER(Datos!M17),Datos!M17," - ")</f>
        <v>44</v>
      </c>
      <c r="AK17" s="693">
        <f>IF(ISNUMBER(Datos!N17),Datos!N17," - ")</f>
        <v>112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5.8252427184466029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3.8181818181818183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417</v>
      </c>
      <c r="G23" s="1197">
        <f>SUBTOTAL(9,G16:G22)</f>
        <v>424</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217</v>
      </c>
      <c r="Z23" s="1240">
        <f t="shared" si="6"/>
        <v>6</v>
      </c>
      <c r="AA23" s="1240">
        <f t="shared" si="6"/>
        <v>414</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49</v>
      </c>
      <c r="AK23" s="1240">
        <f t="shared" si="6"/>
        <v>113</v>
      </c>
      <c r="AL23" s="1240">
        <f t="shared" si="6"/>
        <v>0</v>
      </c>
      <c r="AM23" s="1240">
        <f t="shared" si="6"/>
        <v>0</v>
      </c>
      <c r="AN23" s="1240">
        <f t="shared" si="6"/>
        <v>0</v>
      </c>
      <c r="AO23" s="1242">
        <f>IF(ISNUMBER(((NºAsuntos!I23/NºAsuntos!G23)*11)/factor_trimestre),((NºAsuntos!I23/NºAsuntos!G23)*11)/factor_trimestre," - ")</f>
        <v>5.7235023041474662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425</v>
      </c>
      <c r="G31" s="1117">
        <f t="shared" si="12"/>
        <v>432</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220</v>
      </c>
      <c r="Z31" s="1124">
        <f t="shared" si="13"/>
        <v>123</v>
      </c>
      <c r="AA31" s="1125">
        <f t="shared" si="13"/>
        <v>420</v>
      </c>
      <c r="AB31" s="1125">
        <f t="shared" si="13"/>
        <v>0</v>
      </c>
      <c r="AC31" s="1125">
        <f t="shared" si="13"/>
        <v>0</v>
      </c>
      <c r="AD31" s="1126">
        <f t="shared" si="13"/>
        <v>0</v>
      </c>
      <c r="AE31" s="1126">
        <f t="shared" si="13"/>
        <v>730</v>
      </c>
      <c r="AF31" s="1127">
        <f t="shared" si="13"/>
        <v>0</v>
      </c>
      <c r="AG31" s="1128">
        <f t="shared" si="13"/>
        <v>0</v>
      </c>
      <c r="AH31" s="1129">
        <f t="shared" si="13"/>
        <v>0</v>
      </c>
      <c r="AI31" s="1127">
        <f t="shared" si="13"/>
        <v>0</v>
      </c>
      <c r="AJ31" s="1117">
        <f t="shared" si="13"/>
        <v>74</v>
      </c>
      <c r="AK31" s="1117">
        <f t="shared" si="13"/>
        <v>160</v>
      </c>
      <c r="AL31" s="1117">
        <f t="shared" si="13"/>
        <v>0</v>
      </c>
      <c r="AM31" s="1130">
        <f t="shared" si="13"/>
        <v>0</v>
      </c>
      <c r="AN31" s="1120">
        <f>IF(ISNUMBER(Datos!K31/Datos!J31),Datos!K31/Datos!J31," - ")</f>
        <v>1.1476923076923078</v>
      </c>
      <c r="AO31" s="1120">
        <f>IF(ISNUMBER(FIND("06",Criterios!A8,1)),(IF(ISNUMBER(((Datos!R31/Datos!Q31)*11)/factor_trimestre),((Datos!R31/Datos!Q31)*11)/factor_trimestre," - ")),(IF(ISNUMBER(((Datos!L31/Datos!K31)*11)/factor_trimestre),((Datos!L31/Datos!K31)*11)/factor_trimestre," - ")))</f>
        <v>6.193029490616623</v>
      </c>
      <c r="AP31" s="1131" t="str">
        <f>IF(ISNUMBER(Datos!CI31/Datos!CJ31),Datos!CI31/Datos!CJ31," - ")</f>
        <v xml:space="preserve"> - </v>
      </c>
      <c r="AQ31" s="1131">
        <f>IF(OR(ISNUMBER(FIND("01",Criterios!A8,1)),ISNUMBER(FIND("02",Criterios!A8,1)),ISNUMBER(FIND("03",Criterios!A8,1)),ISNUMBER(FIND("04",Criterios!A8,1))),(J31-Y31+K31)/(F31-K31),(I31-Y31+K31)/(F31-K31))</f>
        <v>-0.51764705882352946</v>
      </c>
      <c r="AR31" s="1131">
        <f>IF(ISNUMBER((Datos!P31-Datos!Q31+O31)/(Datos!R31-Datos!P31+Datos!Q31-O31)),(Datos!P31-Datos!Q31+O31)/(Datos!R31-Datos!P31+Datos!Q31-O31)," - ")</f>
        <v>-0.10098522167487685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213.30228940793546</v>
      </c>
      <c r="G33" s="674">
        <f>IF(ISNUMBER(STDEV(G8:G30)),STDEV(G8:G30),"-")</f>
        <v>201.63982505353215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20.262562241025407</v>
      </c>
      <c r="AK33" s="276"/>
      <c r="AL33" s="276">
        <f>IF(ISNUMBER(STDEV(AL8:AL30)),STDEV(AL8:AL30),"-")</f>
        <v>0</v>
      </c>
      <c r="AM33" s="278">
        <f>IF(ISNUMBER(STDEV(AM8:AM30)),STDEV(AM8:AM30),"-")</f>
        <v>0</v>
      </c>
      <c r="AN33" s="660">
        <f>IF(ISNUMBER(STDEV(AN8:AN30)),STDEV(AN8:AN30),"-")</f>
        <v>0</v>
      </c>
      <c r="AO33" s="661">
        <f>IF(ISNUMBER(STDEV(AO8:AO30)),STDEV(AO8:AO30),"-")</f>
        <v>1.0000363798162766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KDCtSY639ccZgAQi1ooJb3sb7OP3fXI7S3c0YRbMUg7i2KtiAiObkGUZh1gISkg9ZCf6Jy2hXhQVfizC+LCGg==" saltValue="RzABcdsIRMj1U/9dhUGo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fmLLy+3lFeYErO0gemEuaU9vAz9eB0ukXIcb6lkcgKcMlV/XQi4P7QB/xcYZXDQAxnOuQi94jTGUpzaIQL1w==" saltValue="sT4nuVQ6wxIv2yT2cY7W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opTsJ1O9ORlgpOFcankomy81YD6mpDvFdNr+tssuFpHi3M9gfEimYxbJB9VBUhHo+byqxLIeJ4cIQus7UjxA==" saltValue="2b8mTsICCpbSM+III52M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0.14450867052023122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0.10218306086510803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GcWxnVJDGp9MITrrxmSLoTJrtFDVJpdHDYBty+SJ/6OgmtcX+cc3MmK8ev1hOb2XCQ7d03bP5DjOaIF8D5aog==" saltValue="Q6+EKdX4Z0DYaHh3XcFN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MsXq2ZwiUCYO3/Ji2rEHOoyHzRhIaIVKOUy2iQDqwthX8yJ8xnpGshHz1dixmQRjwpW5MZNeaay1I4kx5Sfug==" saltValue="Nz/cultWW8/NTrRhEgow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SEBASTIAN DE LA GOMERA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3</v>
      </c>
      <c r="H10" s="452">
        <f>IF(ISNUMBER(G10/B10),G10/B10," - ")</f>
        <v>3</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398</v>
      </c>
      <c r="D12" s="452">
        <f>IF(ISNUMBER(C12/Datos!BH12),C12/Datos!BH12," - ")</f>
        <v>398</v>
      </c>
      <c r="E12" s="451">
        <f>IF(ISNUMBER(IF(J_V="SI",Datos!J12,Datos!J12+Datos!Z12)),IF(J_V="SI",Datos!J12,Datos!J12+Datos!Z12)," - ")</f>
        <v>142</v>
      </c>
      <c r="F12" s="452">
        <f>IF(ISNUMBER(E12/B12),E12/B12," - ")</f>
        <v>142</v>
      </c>
      <c r="G12" s="451">
        <f>IF(ISNUMBER(IF(J_V="SI",Datos!K12,Datos!K12+Datos!AA12)),IF(J_V="SI",Datos!K12,Datos!K12+Datos!AA12)," - ")</f>
        <v>170</v>
      </c>
      <c r="H12" s="452">
        <f>IF(ISNUMBER(G12/B12),G12/B12," - ")</f>
        <v>170</v>
      </c>
      <c r="I12" s="451">
        <f>IF(ISNUMBER(IF(J_V="SI",Datos!L12,Datos!L12+Datos!AB12)),IF(J_V="SI",Datos!L12,Datos!L12+Datos!AB12)," - ")</f>
        <v>370</v>
      </c>
      <c r="J12" s="452">
        <f>IF(ISNUMBER(I12/B12),I12/B12," - ")</f>
        <v>370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406</v>
      </c>
      <c r="D14" s="1147" t="str">
        <f>IF(ISNUMBER(C14/Datos!BI14),C14/Datos!BI14," - ")</f>
        <v xml:space="preserve"> - </v>
      </c>
      <c r="E14" s="1146">
        <f>SUBTOTAL(9,E8:E13)</f>
        <v>143</v>
      </c>
      <c r="F14" s="1147">
        <f>IF(ISNUMBER(E14/B14),E14/B14," - ")</f>
        <v>143</v>
      </c>
      <c r="G14" s="1146">
        <f>SUBTOTAL(9,G8:G13)</f>
        <v>173</v>
      </c>
      <c r="H14" s="1147">
        <f>IF(ISNUMBER(G14/B14),G14/B14," - ")</f>
        <v>173</v>
      </c>
      <c r="I14" s="1146">
        <f>SUBTOTAL(9,I8:I13)</f>
        <v>376</v>
      </c>
      <c r="J14" s="1147">
        <f>IF(ISNUMBER(I14/B14),I14/B14," - ")</f>
        <v>376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413</v>
      </c>
      <c r="D17" s="452">
        <f>IF(ISNUMBER(C17/Datos!BH17),C17/Datos!BH17," - ")</f>
        <v>413</v>
      </c>
      <c r="E17" s="451">
        <f>IF(ISNUMBER(IF(D_I="SI",Datos!J17,Datos!J17+Datos!AD17)),IF(D_I="SI",Datos!J17,Datos!J17+Datos!AD17)," - ")</f>
        <v>189</v>
      </c>
      <c r="F17" s="452">
        <f>IF(ISNUMBER(E17/B17),E17/B17," - ")</f>
        <v>189</v>
      </c>
      <c r="G17" s="451">
        <f>IF(ISNUMBER(IF(D_I="SI",Datos!K17,Datos!K17+Datos!AE17)),IF(D_I="SI",Datos!K17,Datos!K17+Datos!AE17)," - ")</f>
        <v>206</v>
      </c>
      <c r="H17" s="452">
        <f>IF(ISNUMBER(G17/B17),G17/B17," - ")</f>
        <v>206</v>
      </c>
      <c r="I17" s="451">
        <f>IF(ISNUMBER(IF(D_I="SI",Datos!L17,Datos!L17+Datos!AF17)),IF(D_I="SI",Datos!L17,Datos!L17+Datos!AF17)," - ")</f>
        <v>400</v>
      </c>
      <c r="J17" s="452">
        <f>IF(ISNUMBER(I17/B17),I17/B17," - ")</f>
        <v>400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13</v>
      </c>
      <c r="F18" s="452">
        <f>IF(ISNUMBER(E18/B18),E18/B18," - ")</f>
        <v>13</v>
      </c>
      <c r="G18" s="451">
        <f>IF(ISNUMBER(IF(D_I="SI",Datos!K18,Datos!K18+Datos!AE18)),IF(D_I="SI",Datos!K18,Datos!K18+Datos!AE18)," - ")</f>
        <v>11</v>
      </c>
      <c r="H18" s="452">
        <f>IF(ISNUMBER(G18/B18),G18/B18," - ")</f>
        <v>11</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424</v>
      </c>
      <c r="D23" s="1147" t="str">
        <f>IF(ISNUMBER(C23/Datos!BI23),C23/Datos!BI23," - ")</f>
        <v xml:space="preserve"> - </v>
      </c>
      <c r="E23" s="1146">
        <f>SUBTOTAL(9,E15:E22)</f>
        <v>202</v>
      </c>
      <c r="F23" s="1147">
        <f>IF(ISNUMBER(E23/B23),E23/B23," - ")</f>
        <v>202</v>
      </c>
      <c r="G23" s="1146">
        <f>SUBTOTAL(9,G15:G22)</f>
        <v>217</v>
      </c>
      <c r="H23" s="1147">
        <f>IF(ISNUMBER(G23/B23),G23/B23," - ")</f>
        <v>217</v>
      </c>
      <c r="I23" s="1146">
        <f>SUBTOTAL(9,I15:I22)</f>
        <v>414</v>
      </c>
      <c r="J23" s="1147">
        <f>IF(ISNUMBER(I23/B23),I23/B23," - ")</f>
        <v>414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830</v>
      </c>
      <c r="D31" s="1085" t="str">
        <f>IF(ISNUMBER(C31/Datos!BI31),C31/Datos!BI31," - ")</f>
        <v xml:space="preserve"> - </v>
      </c>
      <c r="E31" s="1084">
        <f>SUBTOTAL(9,E9:E30)</f>
        <v>345</v>
      </c>
      <c r="F31" s="1085">
        <f>IF(ISNUMBER(E31/B31),E31/B31," - ")</f>
        <v>345</v>
      </c>
      <c r="G31" s="1084">
        <f>SUBTOTAL(9,G9:G30)</f>
        <v>390</v>
      </c>
      <c r="H31" s="1085">
        <f>IF(ISNUMBER(G31/B31),G31/B31," - ")</f>
        <v>390</v>
      </c>
      <c r="I31" s="1084">
        <f>SUBTOTAL(9,I9:I30)</f>
        <v>790</v>
      </c>
      <c r="J31" s="1085">
        <f>IF(ISNUMBER(I31/B31),I31/B31," - ")</f>
        <v>790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RNcQXLczgsdEXsRYpaLHNQs7MEjDwe8Hek9UTNdLfy4BvjnYwEjMp9I/7EqIJKgVUe4SvPEc8hOh7+o230/Xw==" saltValue="5nvzoyIXmDbHAaBEKtBO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6.5294117647058814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-0.10776942355889724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117</v>
      </c>
      <c r="AE14" s="1257">
        <f t="shared" si="1"/>
        <v>0</v>
      </c>
      <c r="AF14" s="1257">
        <f t="shared" si="1"/>
        <v>6</v>
      </c>
      <c r="AG14" s="1257">
        <f t="shared" si="1"/>
        <v>0</v>
      </c>
      <c r="AH14" s="1257">
        <f t="shared" si="1"/>
        <v>712</v>
      </c>
      <c r="AI14" s="1257">
        <f t="shared" si="1"/>
        <v>0</v>
      </c>
      <c r="AJ14" s="1257">
        <f t="shared" si="1"/>
        <v>0</v>
      </c>
      <c r="AK14" s="1257">
        <f t="shared" si="1"/>
        <v>0</v>
      </c>
      <c r="AL14" s="1257">
        <f t="shared" si="1"/>
        <v>25</v>
      </c>
      <c r="AM14" s="1257">
        <f t="shared" si="1"/>
        <v>47</v>
      </c>
      <c r="AN14" s="1257">
        <f t="shared" si="1"/>
        <v>0</v>
      </c>
      <c r="AO14" s="1257">
        <f t="shared" si="1"/>
        <v>0</v>
      </c>
      <c r="AP14" s="1262">
        <f>IF(ISNUMBER(((Datos!L14/Datos!K14)*11)/factor_trimestre),((Datos!L14/Datos!K14)*11)/factor_trimestre," - ")</f>
        <v>6.8461538461538467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-0.10776942355889724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5.7235023041474662</v>
      </c>
      <c r="AQ23" s="1262">
        <f>IF(ISNUMBER(((Datos!M23/Datos!L23)*11)/factor_trimestre),((Datos!M23/Datos!L23)*11)/factor_trimestre," - ")</f>
        <v>0.35507246376811596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-2.2026431718061675E-2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117</v>
      </c>
      <c r="AE31" s="1284">
        <f t="shared" si="9"/>
        <v>0</v>
      </c>
      <c r="AF31" s="1285">
        <f t="shared" si="9"/>
        <v>6</v>
      </c>
      <c r="AG31" s="1285">
        <f t="shared" si="9"/>
        <v>0</v>
      </c>
      <c r="AH31" s="1285">
        <f t="shared" si="9"/>
        <v>712</v>
      </c>
      <c r="AI31" s="1285">
        <f t="shared" si="9"/>
        <v>0</v>
      </c>
      <c r="AJ31" s="1286">
        <f t="shared" si="9"/>
        <v>0</v>
      </c>
      <c r="AK31" s="1286">
        <f t="shared" si="9"/>
        <v>0</v>
      </c>
      <c r="AL31" s="1278">
        <f t="shared" si="9"/>
        <v>25</v>
      </c>
      <c r="AM31" s="1278">
        <f t="shared" si="9"/>
        <v>47</v>
      </c>
      <c r="AN31" s="1278">
        <f t="shared" si="9"/>
        <v>0</v>
      </c>
      <c r="AO31" s="1278">
        <f t="shared" si="9"/>
        <v>0</v>
      </c>
      <c r="AP31" s="1278">
        <f>IF(ISNUMBER(((Datos!L31/Datos!K31)*11)/factor_trimestre),((Datos!L31/Datos!K31)*11)/factor_trimestre," - ")</f>
        <v>6.193029490616623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-0.10098522167487685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0.50685847904260162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C6M7wfS5kjmGT/0LoS6u5ZOS4pRqi4Ha3+M5PJswW2IXvyGrIc9Qr7TvbqNxGP4bGE6U/FK3KpEl5ep+eNRsg==" saltValue="RL3hVzWJEeVsQxxxXyEx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SEBASTIAN DE LA GOMERA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LifHKyMm3uK8xM1GVR/V8H1nmEWwqDeA1v6jvKBj+RrrdF1QH9/ufui6aQzVolYbauO6zpUj2f8xocRW3Dd3w==" saltValue="4imwv2qnEVB+rH+WUZ9B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SEBASTIAN DE LA GOMERA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25</v>
      </c>
      <c r="E12" s="452">
        <f t="shared" si="0"/>
        <v>25</v>
      </c>
      <c r="F12" s="451">
        <f>IF(ISNUMBER(Datos!N12),Datos!N12," - ")</f>
        <v>46</v>
      </c>
      <c r="G12" s="452">
        <f t="shared" si="1"/>
        <v>46</v>
      </c>
      <c r="H12" s="451">
        <f>IF(ISNUMBER(Datos!O12),Datos!O12," - ")</f>
        <v>116</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47</v>
      </c>
      <c r="G14" s="1147">
        <f t="shared" si="1"/>
        <v>23.5</v>
      </c>
      <c r="H14" s="1146">
        <f>SUBTOTAL(9,H9:H13)</f>
        <v>118</v>
      </c>
      <c r="I14" s="1147">
        <f>IF(ISNUMBER(H14/B14),H14/B14," - ")</f>
        <v>59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44</v>
      </c>
      <c r="E17" s="452">
        <f t="shared" si="3"/>
        <v>44</v>
      </c>
      <c r="F17" s="451">
        <f>IF(ISNUMBER(Datos!N17),Datos!N17," - ")</f>
        <v>112</v>
      </c>
      <c r="G17" s="452">
        <f t="shared" si="4"/>
        <v>112</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49</v>
      </c>
      <c r="E23" s="1147">
        <f t="shared" si="3"/>
        <v>24.5</v>
      </c>
      <c r="F23" s="1146">
        <f>SUBTOTAL(9,F16:F22)</f>
        <v>113</v>
      </c>
      <c r="G23" s="1147">
        <f t="shared" si="4"/>
        <v>56.5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74</v>
      </c>
      <c r="E31" s="1085">
        <f>IF(ISNUMBER(D31/B31),D31/B31," - ")</f>
        <v>74</v>
      </c>
      <c r="F31" s="1084">
        <f>SUBTOTAL(9,F8:F30)</f>
        <v>160</v>
      </c>
      <c r="G31" s="1085">
        <f>IF(ISNUMBER(F31/B31),F31/B31," - ")</f>
        <v>160</v>
      </c>
      <c r="H31" s="1084">
        <f>SUBTOTAL(9,H8:H30)</f>
        <v>118</v>
      </c>
      <c r="I31" s="1085">
        <f>IF(ISNUMBER(H31/B31),H31/B31," - ")</f>
        <v>118</v>
      </c>
    </row>
    <row r="34" spans="1:1">
      <c r="A34" s="439" t="str">
        <f>Criterios!A4</f>
        <v>Fecha Informe: 05 may. 2023</v>
      </c>
    </row>
    <row r="39" spans="1:1">
      <c r="A39" s="462"/>
    </row>
  </sheetData>
  <sheetProtection algorithmName="SHA-512" hashValue="FEygDuut021uQE5G++k/oF9T4b3e6PIfoBFL4RUBuFuc3Y+ZWWYHSn4vXK2nlG89/ob+nK+K/rc/EXNpUPhfHQ==" saltValue="+ET/eaTuZQF1ftQK9eda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SEBASTIAN DE LA GOMERA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117</v>
      </c>
      <c r="D12" s="456">
        <f>IF(ISNUMBER(Datos!R12),Datos!R12," - ")</f>
        <v>712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117</v>
      </c>
      <c r="D14" s="1148">
        <f>SUBTOTAL(9,D9:D13)</f>
        <v>714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6</v>
      </c>
      <c r="D17" s="456">
        <f>IF(ISNUMBER(Datos!R17),Datos!R17," - ")</f>
        <v>15</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6</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123</v>
      </c>
      <c r="D31" s="1090">
        <f>SUBTOTAL(9,D8:D30)</f>
        <v>730</v>
      </c>
    </row>
    <row r="32" spans="1:4" ht="7.5" customHeight="1"/>
    <row r="33" spans="1:1" ht="6" customHeight="1"/>
    <row r="34" spans="1:1">
      <c r="A34" s="439" t="str">
        <f>Criterios!A4</f>
        <v>Fecha Informe: 05 may. 2023</v>
      </c>
    </row>
    <row r="39" spans="1:1">
      <c r="A39" s="462"/>
    </row>
  </sheetData>
  <sheetProtection algorithmName="SHA-512" hashValue="NKG6WkNsVrswrjpN+RHdp+yQ68lN2+QFg2biTvLf03du/SLVXwhxQgbPg5KhSOjvI6Y3J3Ja18es+G4e0+kacw==" saltValue="dqUmRTobtg8LHaO4ztJL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SEBASTIAN DE LA GOMERA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-0.5</v>
      </c>
      <c r="D10" s="515">
        <f>IF(ISNUMBER((Datos!K10-Datos!U10)/Datos!U10),(Datos!K10-Datos!U10)/Datos!U10," - ")</f>
        <v>2</v>
      </c>
      <c r="E10" s="515">
        <f>IF(ISNUMBER((Datos!L10-Datos!V10)/Datos!V10),(Datos!L10-Datos!V10)/Datos!V10," - ")</f>
        <v>-0.14285714285714285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5</v>
      </c>
      <c r="I10" s="515">
        <f>IF(ISNUMBER(((NºAsuntos!I10/NºAsuntos!G10)-Datos!BE10)/Datos!BE10),((NºAsuntos!I10/NºAsuntos!G10)-Datos!BE10)/Datos!BE10," - ")</f>
        <v>-0.7142857142857143</v>
      </c>
      <c r="J10" s="521">
        <f>IF(ISNUMBER((('Resol  Asuntos'!D10/NºAsuntos!G10)-Datos!BF10)/Datos!BF10),(('Resol  Asuntos'!D10/NºAsuntos!G10)-Datos!BF10)/Datos!BF10," - ")</f>
        <v>-1</v>
      </c>
      <c r="K10" s="522">
        <f>IF(ISNUMBER((((NºAsuntos!C10+NºAsuntos!E10)/NºAsuntos!G10)-Datos!BG10)/Datos!BG10),(((NºAsuntos!C10+NºAsuntos!E10)/NºAsuntos!G10)-Datos!BG10)/Datos!BG10," - ")</f>
        <v>-0.625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0.18452380952380953</v>
      </c>
      <c r="C12" s="515">
        <f>IF(ISNUMBER(
   IF(J_V="SI",(Datos!J12-Datos!T12)/Datos!T12,(Datos!J12+Datos!Z12-(Datos!T12+Datos!AH12))/(Datos!T12+Datos!AH12))
     ),IF(J_V="SI",(Datos!J12-Datos!T12)/Datos!T12,(Datos!J12+Datos!Z12-(Datos!T12+Datos!AH12))/(Datos!T12+Datos!AH12))," - ")</f>
        <v>-0.1791907514450867</v>
      </c>
      <c r="D12" s="515">
        <f>IF(ISNUMBER(
   IF(J_V="SI",(Datos!K12-Datos!U12)/Datos!U12,(Datos!K12+Datos!AA12-(Datos!U12+Datos!AI12))/(Datos!U12+Datos!AI12))
     ),IF(J_V="SI",(Datos!K12-Datos!U12)/Datos!U12,(Datos!K12+Datos!AA12-(Datos!U12+Datos!AI12))/(Datos!U12+Datos!AI12))," - ")</f>
        <v>-0.10526315789473684</v>
      </c>
      <c r="E12" s="515">
        <f>IF(ISNUMBER(
   IF(J_V="SI",(Datos!L12-Datos!V12)/Datos!V12,(Datos!L12+Datos!AB12-(Datos!V12+Datos!AJ12))/(Datos!V12+Datos!AJ12))
     ),IF(J_V="SI",(Datos!L12-Datos!V12)/Datos!V12,(Datos!L12+Datos!AB12-(Datos!V12+Datos!AJ12))/(Datos!V12+Datos!AJ12))," - ")</f>
        <v>0.15987460815047022</v>
      </c>
      <c r="F12" s="515">
        <f>IF(ISNUMBER((Datos!M12-Datos!W12)/Datos!W12),(Datos!M12-Datos!W12)/Datos!W12," - ")</f>
        <v>-0.13793103448275862</v>
      </c>
      <c r="G12" s="516">
        <f>IF(ISNUMBER((Datos!N12-Datos!X12)/Datos!X12),(Datos!N12-Datos!X12)/Datos!X12," - ")</f>
        <v>-0.36986301369863012</v>
      </c>
      <c r="H12" s="514">
        <f>IF(ISNUMBER(((NºAsuntos!G12/NºAsuntos!E12)-Datos!BD12)/Datos!BD12),((NºAsuntos!G12/NºAsuntos!E12)-Datos!BD12)/Datos!BD12," - ")</f>
        <v>9.0066716085989582E-2</v>
      </c>
      <c r="I12" s="515">
        <f>IF(ISNUMBER(((NºAsuntos!I12/NºAsuntos!G12)-Datos!BE12)/Datos!BE12),((NºAsuntos!I12/NºAsuntos!G12)-Datos!BE12)/Datos!BE12," - ")</f>
        <v>0.29633044440346668</v>
      </c>
      <c r="J12" s="521">
        <f>IF(ISNUMBER((('Resol  Asuntos'!D12/NºAsuntos!G12)-Datos!BF12)/Datos!BF12),(('Resol  Asuntos'!D12/NºAsuntos!G12)-Datos!BF12)/Datos!BF12," - ")</f>
        <v>-0.61724415793714738</v>
      </c>
      <c r="K12" s="522">
        <f>IF(ISNUMBER((((NºAsuntos!C12+NºAsuntos!E12)/NºAsuntos!G12)-Datos!BG12)/Datos!BG12),(((NºAsuntos!C12+NºAsuntos!E12)/NºAsuntos!G12)-Datos!BG12)/Datos!BG12," - ")</f>
        <v>0.18571593666936312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0.1871345029239766</v>
      </c>
      <c r="C14" s="1152">
        <f>IF(ISNUMBER(
   IF(J_V="SI",(Datos!J14-Datos!T14)/Datos!T14,(Datos!J14+Datos!Z14-(Datos!T14+Datos!AH14))/(Datos!T14+Datos!AH14))
     ),IF(J_V="SI",(Datos!J14-Datos!T14)/Datos!T14,(Datos!J14+Datos!Z14-(Datos!T14+Datos!AH14))/(Datos!T14+Datos!AH14))," - ")</f>
        <v>-0.18285714285714286</v>
      </c>
      <c r="D14" s="1152">
        <f>IF(ISNUMBER(
   IF(J_V="SI",(Datos!K14-Datos!U14)/Datos!U14,(Datos!K14+Datos!AA14-(Datos!U14+Datos!AI14))/(Datos!U14+Datos!AI14))
     ),IF(J_V="SI",(Datos!K14-Datos!U14)/Datos!U14,(Datos!K14+Datos!AA14-(Datos!U14+Datos!AI14))/(Datos!U14+Datos!AI14))," - ")</f>
        <v>-9.4240837696335081E-2</v>
      </c>
      <c r="E14" s="1152">
        <f>IF(ISNUMBER(
   IF(J_V="SI",(Datos!L14-Datos!V14)/Datos!V14,(Datos!L14+Datos!AB14-(Datos!V14+Datos!AJ14))/(Datos!V14+Datos!AJ14))
     ),IF(J_V="SI",(Datos!L14-Datos!V14)/Datos!V14,(Datos!L14+Datos!AB14-(Datos!V14+Datos!AJ14))/(Datos!V14+Datos!AJ14))," - ")</f>
        <v>0.15337423312883436</v>
      </c>
      <c r="F14" s="1153">
        <f>IF(ISNUMBER((Datos!M14-Datos!W14)/Datos!W14),(Datos!M14-Datos!W14)/Datos!W14," - ")</f>
        <v>-0.16666666666666666</v>
      </c>
      <c r="G14" s="1154">
        <f>IF(ISNUMBER((Datos!N14-Datos!X14)/Datos!X14),(Datos!N14-Datos!X14)/Datos!X14," - ")</f>
        <v>-0.35616438356164382</v>
      </c>
      <c r="H14" s="1154">
        <f>IF(ISNUMBER(((NºAsuntos!G14/NºAsuntos!E14)-Datos!BD14)/Datos!BD14),((NºAsuntos!G14/NºAsuntos!E14)-Datos!BD14)/Datos!BD14," - ")</f>
        <v>0.10844652729469485</v>
      </c>
      <c r="I14" s="1154">
        <f>IF(ISNUMBER(((NºAsuntos!I14/NºAsuntos!G14)-Datos!BE14)/Datos!BE14),((NºAsuntos!I14/NºAsuntos!G14)-Datos!BE14)/Datos!BE14," - ")</f>
        <v>0.27337848859888642</v>
      </c>
      <c r="J14" s="1154">
        <f>IF(ISNUMBER((('Resol  Asuntos'!D14/NºAsuntos!G14)-Datos!BF14)/Datos!BF14),(('Resol  Asuntos'!D14/NºAsuntos!G14)-Datos!BF14)/Datos!BF14," - ")</f>
        <v>-0.62701140446805181</v>
      </c>
      <c r="K14" s="1154">
        <f>IF(ISNUMBER((((NºAsuntos!C14+NºAsuntos!E14)/NºAsuntos!G14)-Datos!BG14)/Datos!BG14),(((NºAsuntos!C14+NºAsuntos!E14)/NºAsuntos!G14)-Datos!BG14)/Datos!BG14," - ")</f>
        <v>0.17238179358459754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-3.5046728971962614E-2</v>
      </c>
      <c r="C17" s="515">
        <f>IF(ISNUMBER(
   IF(D_I="SI",(Datos!J17-Datos!T17)/Datos!T17,(Datos!J17+Datos!AD17-(Datos!T17+Datos!AL17))/(Datos!T17+Datos!AL17))
     ),IF(D_I="SI",(Datos!J17-Datos!T17)/Datos!T17,(Datos!J17+Datos!AD17-(Datos!T17+Datos!AL17))/(Datos!T17+Datos!AL17))," - ")</f>
        <v>0.21153846153846154</v>
      </c>
      <c r="D17" s="515">
        <f>IF(ISNUMBER(
   IF(D_I="SI",(Datos!K17-Datos!U17)/Datos!U17,(Datos!K17+Datos!AE17-(Datos!U17+Datos!AM17))/(Datos!U17+Datos!AM17))
     ),IF(D_I="SI",(Datos!K17-Datos!U17)/Datos!U17,(Datos!K17+Datos!AE17-(Datos!U17+Datos!AM17))/(Datos!U17+Datos!AM17))," - ")</f>
        <v>0.40136054421768708</v>
      </c>
      <c r="E17" s="515">
        <f>IF(ISNUMBER(
   IF(D_I="SI",(Datos!L17-Datos!V17)/Datos!V17,(Datos!L17+Datos!AF17-(Datos!V17+Datos!AN17))/(Datos!V17+Datos!AN17))
     ),IF(D_I="SI",(Datos!L17-Datos!V17)/Datos!V17,(Datos!L17+Datos!AF17-(Datos!V17+Datos!AN17))/(Datos!V17+Datos!AN17))," - ")</f>
        <v>-8.4668192219679639E-2</v>
      </c>
      <c r="F17" s="515">
        <f>IF(ISNUMBER((Datos!M17-Datos!W17)/Datos!W17),(Datos!M17-Datos!W17)/Datos!W17," - ")</f>
        <v>2.6666666666666665</v>
      </c>
      <c r="G17" s="516">
        <f>IF(ISNUMBER((Datos!N17-Datos!X17)/Datos!X17),(Datos!N17-Datos!X17)/Datos!X17," - ")</f>
        <v>4.6728971962616821E-2</v>
      </c>
      <c r="H17" s="514">
        <f>IF(ISNUMBER(((NºAsuntos!G17/NºAsuntos!E17)-Datos!BD17)/Datos!BD17),((NºAsuntos!G17/NºAsuntos!E17)-Datos!BD17)/Datos!BD17," - ")</f>
        <v>0.15667854443364654</v>
      </c>
      <c r="I17" s="515">
        <f>IF(ISNUMBER(((NºAsuntos!I17/NºAsuntos!G17)-Datos!BE17)/Datos!BE17),((NºAsuntos!I17/NºAsuntos!G17)-Datos!BE17)/Datos!BE17," - ")</f>
        <v>-0.3468263313412277</v>
      </c>
      <c r="J17" s="521">
        <f>IF(ISNUMBER((('Resol  Asuntos'!D17/NºAsuntos!G17)-Datos!BF17)/Datos!BF17),(('Resol  Asuntos'!D17/NºAsuntos!G17)-Datos!BF17)/Datos!BF17," - ")</f>
        <v>1.616504854368932</v>
      </c>
      <c r="K17" s="522">
        <f>IF(ISNUMBER((((NºAsuntos!C17+NºAsuntos!E17)/NºAsuntos!G17)-Datos!BG17)/Datos!BG17),(((NºAsuntos!C17+NºAsuntos!E17)/NºAsuntos!G17)-Datos!BG17)/Datos!BG17," - ")</f>
        <v>-0.26441348583588242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-0.3125</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0.66666666666666663</v>
      </c>
      <c r="G18" s="516">
        <f>IF(ISNUMBER((Datos!N18-Datos!X18)/Datos!X18),(Datos!N18-Datos!X18)/Datos!X18," - ")</f>
        <v>-0.83333333333333337</v>
      </c>
      <c r="H18" s="514">
        <f>IF(ISNUMBER(((NºAsuntos!G18/NºAsuntos!E18)-Datos!BD18)/Datos!BD18),((NºAsuntos!G18/NºAsuntos!E18)-Datos!BD18)/Datos!BD18," - ")</f>
        <v>-0.15384615384615385</v>
      </c>
      <c r="I18" s="515">
        <f>IF(ISNUMBER(((NºAsuntos!I18/NºAsuntos!G18)-Datos!BE18)/Datos!BE18),((NºAsuntos!I18/NºAsuntos!G18)-Datos!BE18)/Datos!BE18," - ")</f>
        <v>-0.12500000000000003</v>
      </c>
      <c r="J18" s="521">
        <f>IF(ISNUMBER((('Resol  Asuntos'!D18/NºAsuntos!G18)-Datos!BF18)/Datos!BF18),(('Resol  Asuntos'!D18/NºAsuntos!G18)-Datos!BF18)/Datos!BF18," - ")</f>
        <v>0.66666666666666674</v>
      </c>
      <c r="K18" s="522">
        <f>IF(ISNUMBER((((NºAsuntos!C18+NºAsuntos!E18)/NºAsuntos!G18)-Datos!BG18)/Datos!BG18),(((NºAsuntos!C18+NºAsuntos!E18)/NºAsuntos!G18)-Datos!BG18)/Datos!BG18," - ")</f>
        <v>-0.11111111111111119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-4.5045045045045043E-2</v>
      </c>
      <c r="C23" s="1152">
        <f>IF(ISNUMBER(
   IF(Criterios!B14="SI",(Datos!J23-Datos!T23)/Datos!T23,(Datos!J23+Datos!AD23-(Datos!T23+Datos!AL23))/(Datos!T23+Datos!AL23))
     ),IF(Criterios!B14="SI",(Datos!J23-Datos!T23)/Datos!T23,(Datos!J23+Datos!AD23-(Datos!T23+Datos!AL23))/(Datos!T23+Datos!AL23))," - ")</f>
        <v>0.20958083832335328</v>
      </c>
      <c r="D23" s="1152">
        <f>IF(ISNUMBER(
   IF(Criterios!B14="SI",(Datos!K23-Datos!U23)/Datos!U23,(Datos!K23+Datos!AE23-(Datos!U23+Datos!AM23))/(Datos!U23+Datos!AM23))
     ),IF(Criterios!B14="SI",(Datos!K23-Datos!U23)/Datos!U23,(Datos!K23+Datos!AE23-(Datos!U23+Datos!AM23))/(Datos!U23+Datos!AM23))," - ")</f>
        <v>0.37341772151898733</v>
      </c>
      <c r="E23" s="1152">
        <f>IF(ISNUMBER(
   IF(Criterios!B14="SI",(Datos!L23-Datos!V23)/Datos!V23,(Datos!L23+Datos!AF23-(Datos!V23+Datos!AN23))/(Datos!V23+Datos!AN23))
     ),IF(Criterios!B14="SI",(Datos!L23-Datos!V23)/Datos!V23,(Datos!L23+Datos!AF23-(Datos!V23+Datos!AN23))/(Datos!V23+Datos!AN23))," - ")</f>
        <v>-8.6092715231788075E-2</v>
      </c>
      <c r="F23" s="1153">
        <f>IF(ISNUMBER((Datos!M23-Datos!W23)/Datos!W23),(Datos!M23-Datos!W23)/Datos!W23," - ")</f>
        <v>2.2666666666666666</v>
      </c>
      <c r="G23" s="1154">
        <f>IF(ISNUMBER((Datos!N23-Datos!X23)/Datos!X23),(Datos!N23-Datos!X23)/Datos!X23," - ")</f>
        <v>0</v>
      </c>
      <c r="H23" s="1154">
        <f>IF(ISNUMBER(((NºAsuntos!G23/NºAsuntos!E23)-Datos!BD23)/Datos!BD23),((NºAsuntos!G23/NºAsuntos!E23)-Datos!BD23)/Datos!BD23," - ")</f>
        <v>0.13544930442411335</v>
      </c>
      <c r="I23" s="1154">
        <f>IF(ISNUMBER(((NºAsuntos!I23/NºAsuntos!G23)-Datos!BE23)/Datos!BE23),((NºAsuntos!I23/NºAsuntos!G23)-Datos!BE23)/Datos!BE23," - ")</f>
        <v>-0.33457441938535726</v>
      </c>
      <c r="J23" s="1154">
        <f>IF(ISNUMBER((('Resol  Asuntos'!D23/NºAsuntos!G23)-Datos!BF23)/Datos!BF23),(('Resol  Asuntos'!D23/NºAsuntos!G23)-Datos!BF23)/Datos!BF23," - ")</f>
        <v>1.3784946236559137</v>
      </c>
      <c r="K23" s="1154">
        <f>IF(ISNUMBER((((NºAsuntos!C23+NºAsuntos!E23)/NºAsuntos!G23)-Datos!BG23)/Datos!BG23),(((NºAsuntos!C23+NºAsuntos!E23)/NºAsuntos!G23)-Datos!BG23)/Datos!BG23," - ")</f>
        <v>-0.25401434529780448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5.5979643765903309E-2</v>
      </c>
      <c r="C31" s="1092">
        <f>IF(ISNUMBER(
   IF(J_V="SI",(Datos!J31-Datos!T31)/Datos!T31,(Datos!J31+Datos!Z31-(Datos!T31+Datos!AH31))/(Datos!T31+Datos!AH31))
     ),IF(J_V="SI",(Datos!J31-Datos!T31)/Datos!T31,(Datos!J31+Datos!Z31-(Datos!T31+Datos!AH31))/(Datos!T31+Datos!AH31))," - ")</f>
        <v>8.771929824561403E-3</v>
      </c>
      <c r="D31" s="1092">
        <f>IF(ISNUMBER(
   IF(J_V="SI",(Datos!K31-Datos!U31)/Datos!U31,(Datos!K31+Datos!AA31-(Datos!U31+Datos!AI31))/(Datos!U31+Datos!AI31))
     ),IF(J_V="SI",(Datos!K31-Datos!U31)/Datos!U31,(Datos!K31+Datos!AA31-(Datos!U31+Datos!AI31))/(Datos!U31+Datos!AI31))," - ")</f>
        <v>0.1174785100286533</v>
      </c>
      <c r="E31" s="1092">
        <f>IF(ISNUMBER(
   IF(J_V="SI",(Datos!L31-Datos!V31)/Datos!V31,(Datos!L31+Datos!AB31-(Datos!V31+Datos!AJ31))/(Datos!V31+Datos!AJ31))
     ),IF(J_V="SI",(Datos!L31-Datos!V31)/Datos!V31,(Datos!L31+Datos!AB31-(Datos!V31+Datos!AJ31))/(Datos!V31+Datos!AJ31))," - ")</f>
        <v>1.4120667522464698E-2</v>
      </c>
      <c r="F31" s="1093">
        <f>IF(ISNUMBER((Datos!M31-Datos!W31)/Datos!W31),(Datos!M31-Datos!W31)/Datos!W31," - ")</f>
        <v>0.64444444444444449</v>
      </c>
      <c r="G31" s="1094">
        <f>IF(ISNUMBER((Datos!N31-Datos!X31)/Datos!X31),(Datos!N31-Datos!X31)/Datos!X31," - ")</f>
        <v>-0.13978494623655913</v>
      </c>
      <c r="H31" s="1095">
        <f>IF(ISNUMBER((Tasas!B31-Datos!BD31)/Datos!BD31),(Tasas!B31-Datos!BD31)/Datos!BD31," - ")</f>
        <v>0.10776130559362153</v>
      </c>
      <c r="I31" s="1096">
        <f>IF(ISNUMBER((Tasas!C31-Datos!BE31)/Datos!BE31),(Tasas!C31-Datos!BE31)/Datos!BE31," - ")</f>
        <v>-9.2492018037589399E-2</v>
      </c>
      <c r="J31" s="1097">
        <f>IF(ISNUMBER((Tasas!D31-Datos!BF31)/Datos!BF31),(Tasas!D31-Datos!BF31)/Datos!BF31," - ")</f>
        <v>-0.25594929415154133</v>
      </c>
      <c r="K31" s="1097">
        <f>IF(ISNUMBER((Tasas!E31-Datos!BG31)/Datos!BG31),(Tasas!E31-Datos!BG31)/Datos!BG31," - ")</f>
        <v>-6.784188034188042E-2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S6TonzJzjUqDf5nwG6e7lpG5rjxrcSwPbgO/ueSao//hxQk0PRmgPQHgRE6/5ZIKynK0OOU5iWJ1Ln2gO8/iQ==" saltValue="S+UYINTr160upy0F33MC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SEBASTIAN DE LA GOMERA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1.1971830985915493</v>
      </c>
      <c r="C12" s="498">
        <f>IF(ISNUMBER(NºAsuntos!I12/NºAsuntos!G12),NºAsuntos!I12/NºAsuntos!G12," - ")</f>
        <v>2.1764705882352939</v>
      </c>
      <c r="D12" s="499">
        <f>IF(ISNUMBER('Resol  Asuntos'!D12/NºAsuntos!G12),'Resol  Asuntos'!D12/NºAsuntos!G12," - ")</f>
        <v>0.14705882352941177</v>
      </c>
      <c r="E12" s="500">
        <f>IF(ISNUMBER((NºAsuntos!C12+NºAsuntos!E12)/NºAsuntos!G12),(NºAsuntos!C12+NºAsuntos!E12)/NºAsuntos!G12," - ")</f>
        <v>3.1764705882352939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1.2097902097902098</v>
      </c>
      <c r="C14" s="1156">
        <f>IF(ISNUMBER(NºAsuntos!I14/NºAsuntos!G14),NºAsuntos!I14/NºAsuntos!G14," - ")</f>
        <v>2.1734104046242773</v>
      </c>
      <c r="D14" s="1157">
        <f>IF(ISNUMBER('Resol  Asuntos'!D14/NºAsuntos!G14),'Resol  Asuntos'!D14/NºAsuntos!G14," - ")</f>
        <v>0.14450867052023122</v>
      </c>
      <c r="E14" s="1158">
        <f>IF(ISNUMBER((NºAsuntos!C14+NºAsuntos!E14)/NºAsuntos!G14),(NºAsuntos!C14+NºAsuntos!E14)/NºAsuntos!G14," - ")</f>
        <v>3.1734104046242773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1.08994708994709</v>
      </c>
      <c r="C17" s="498">
        <f>IF(ISNUMBER(NºAsuntos!I17/NºAsuntos!G17),NºAsuntos!I17/NºAsuntos!G17," - ")</f>
        <v>1.941747572815534</v>
      </c>
      <c r="D17" s="499">
        <f>IF(ISNUMBER('Resol  Asuntos'!D17/NºAsuntos!G17),'Resol  Asuntos'!D17/NºAsuntos!G17," - ")</f>
        <v>0.21359223300970873</v>
      </c>
      <c r="E17" s="500">
        <f>IF(ISNUMBER((NºAsuntos!C17+NºAsuntos!E17)/NºAsuntos!G17),(NºAsuntos!C17+NºAsuntos!E17)/NºAsuntos!G17," - ")</f>
        <v>2.9223300970873787</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1.2727272727272727</v>
      </c>
      <c r="D18" s="499">
        <f>IF(ISNUMBER('Resol  Asuntos'!D18/NºAsuntos!G18),'Resol  Asuntos'!D18/NºAsuntos!G18," - ")</f>
        <v>0.45454545454545453</v>
      </c>
      <c r="E18" s="500">
        <f>IF(ISNUMBER((NºAsuntos!C18+NºAsuntos!E18)/NºAsuntos!G18),(NºAsuntos!C18+NºAsuntos!E18)/NºAsuntos!G18," - ")</f>
        <v>2.1818181818181817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1.0742574257425743</v>
      </c>
      <c r="C23" s="1156">
        <f>IF(ISNUMBER(NºAsuntos!I23/NºAsuntos!G23),NºAsuntos!I23/NºAsuntos!G23," - ")</f>
        <v>1.9078341013824884</v>
      </c>
      <c r="D23" s="1159">
        <f>IF(ISNUMBER('Resol  Asuntos'!D23/NºAsuntos!G23),'Resol  Asuntos'!D23/NºAsuntos!G23," - ")</f>
        <v>0.22580645161290322</v>
      </c>
      <c r="E23" s="1158">
        <f>IF(ISNUMBER((NºAsuntos!C23+NºAsuntos!E23)/NºAsuntos!G23),(NºAsuntos!C23+NºAsuntos!E23)/NºAsuntos!G23," - ")</f>
        <v>2.8847926267281108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1.1304347826086956</v>
      </c>
      <c r="C31" s="1099">
        <f>IF(ISNUMBER(NºAsuntos!I31/NºAsuntos!G31),NºAsuntos!I31/NºAsuntos!G31," - ")</f>
        <v>2.0256410256410255</v>
      </c>
      <c r="D31" s="1100">
        <f>IF(ISNUMBER('Resol  Asuntos'!D31/NºAsuntos!G31),'Resol  Asuntos'!D31/NºAsuntos!G31," - ")</f>
        <v>0.18974358974358974</v>
      </c>
      <c r="E31" s="1101">
        <f>IF(ISNUMBER((NºAsuntos!C31+NºAsuntos!E31)/NºAsuntos!G31),(NºAsuntos!C31+NºAsuntos!E31)/NºAsuntos!G31," - ")</f>
        <v>3.0128205128205128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0dq5dE8cecb35rQKhz7UhySWowcclTTgykAR3rY+pPGyfzwnXi0To77qTCJ2dhrLCqsrvxlK0xz2JvvPDCV5Q==" saltValue="fB0692TGMkC81UsVudJ2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SEBASTIAN DE LA GOMERA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6</v>
      </c>
      <c r="AB10" s="374">
        <f>IF(ISNUMBER(Datos!R10),Datos!R10," - ")</f>
        <v>2</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117</v>
      </c>
      <c r="Y12" s="374">
        <f t="shared" si="0"/>
        <v>117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v>
      </c>
      <c r="AJ12" s="243" t="str">
        <f>IF(ISNUMBER(Datos!BW12),Datos!BW12," - ")</f>
        <v xml:space="preserve"> - </v>
      </c>
      <c r="AK12" s="242" t="str">
        <f>IF(ISNUMBER(Datos!BX12),Datos!BX12," - ")</f>
        <v xml:space="preserve"> - </v>
      </c>
      <c r="AL12" s="266">
        <f>IF(ISNUMBER(NºAsuntos!G12/NºAsuntos!E12),NºAsuntos!G12/NºAsuntos!E12," - ")</f>
        <v>1.1971830985915493</v>
      </c>
      <c r="AM12" s="284">
        <f>IF(ISNUMBER(((NºAsuntos!I12/NºAsuntos!G12)*11)/factor_trimestre),((NºAsuntos!I12/NºAsuntos!G12)*11)/factor_trimestre," - ")</f>
        <v>6.5294117647058814</v>
      </c>
      <c r="AN12" s="267">
        <f>IF(ISNUMBER('Resol  Asuntos'!D12/NºAsuntos!G12),'Resol  Asuntos'!D12/NºAsuntos!G12," - ")</f>
        <v>0.14705882352941177</v>
      </c>
      <c r="AO12" s="268">
        <f>IF(ISNUMBER((NºAsuntos!C12+NºAsuntos!E12)/NºAsuntos!G12),(NºAsuntos!C12+NºAsuntos!E12)/NºAsuntos!G12," - ")</f>
        <v>3.1764705882352939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117</v>
      </c>
      <c r="Y14" s="1165">
        <f t="shared" si="6"/>
        <v>120</v>
      </c>
      <c r="Z14" s="1165">
        <f t="shared" si="6"/>
        <v>0</v>
      </c>
      <c r="AA14" s="1165">
        <f t="shared" si="6"/>
        <v>6</v>
      </c>
      <c r="AB14" s="1165">
        <f t="shared" si="6"/>
        <v>714</v>
      </c>
      <c r="AC14" s="1165">
        <f t="shared" si="6"/>
        <v>8</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1.2097902097902098</v>
      </c>
      <c r="AM14" s="1171">
        <f>IF(ISNUMBER(((NºAsuntos!I14/NºAsuntos!G14)*11)/factor_trimestre),((NºAsuntos!I14/NºAsuntos!G14)*11)/factor_trimestre," - ")</f>
        <v>6.5202312138728322</v>
      </c>
      <c r="AN14" s="1172">
        <f>IF(ISNUMBER('Resol  Asuntos'!D14/NºAsuntos!G14),'Resol  Asuntos'!D14/NºAsuntos!G14," - ")</f>
        <v>0.14450867052023122</v>
      </c>
      <c r="AO14" s="1173">
        <f>IF(ISNUMBER((NºAsuntos!C14+NºAsuntos!E14)/NºAsuntos!G14),(NºAsuntos!C14+NºAsuntos!E14)/NºAsuntos!G14," - ")</f>
        <v>3.1734104046242773</v>
      </c>
      <c r="AP14" s="1174" t="str">
        <f t="shared" si="2"/>
        <v xml:space="preserve"> - </v>
      </c>
      <c r="AQ14" s="1174">
        <f>IF(ISNUMBER((H14-W14+K14)/(F14)),(H14-W14+K14)/(F14)," - ")</f>
        <v>-0.375</v>
      </c>
      <c r="AR14" s="1175">
        <f>IF(ISNUMBER((Datos!P14-Datos!Q14)/(Datos!R14-Datos!P14+Datos!Q14)),(Datos!P14-Datos!Q14)/(Datos!R14-Datos!P14+Datos!Q14)," - ")</f>
        <v>-0.1075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417</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206</v>
      </c>
      <c r="X17" s="240">
        <f>IF(ISNUMBER(Datos!Q17),Datos!Q17," - ")</f>
        <v>6</v>
      </c>
      <c r="Y17" s="374">
        <f t="shared" ref="Y17:Y22" si="9">SUM(W17:X17)</f>
        <v>212</v>
      </c>
      <c r="Z17" s="375" t="str">
        <f>IF(ISNUMBER(Datos!CC17),Datos!CC17," - ")</f>
        <v xml:space="preserve"> - </v>
      </c>
      <c r="AA17" s="372">
        <f>IF(ISNUMBER(IF(D_I="SI",Datos!L17,Datos!L17+Datos!AF17)),IF(D_I="SI",Datos!L17,Datos!L17+Datos!AF17)," - ")</f>
        <v>400</v>
      </c>
      <c r="AB17" s="374">
        <f>IF(ISNUMBER(Datos!R17),Datos!R17," - ")</f>
        <v>15</v>
      </c>
      <c r="AC17" s="374">
        <f t="shared" si="8"/>
        <v>415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1.08994708994709</v>
      </c>
      <c r="AM17" s="284">
        <f>IF(ISNUMBER(((NºAsuntos!I17/NºAsuntos!G17)*11)/factor_trimestre),((NºAsuntos!I17/NºAsuntos!G17)*11)/factor_trimestre," - ")</f>
        <v>5.8252427184466029</v>
      </c>
      <c r="AN17" s="267">
        <f>IF(ISNUMBER('Resol  Asuntos'!D17/NºAsuntos!G17),'Resol  Asuntos'!D17/NºAsuntos!G17," - ")</f>
        <v>0.21359223300970873</v>
      </c>
      <c r="AO17" s="268">
        <f>IF(ISNUMBER((NºAsuntos!C17+NºAsuntos!E17)/NºAsuntos!G17),(NºAsuntos!C17+NºAsuntos!E17)/NºAsuntos!G17," - ")</f>
        <v>2.9223300970873787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3.8181818181818183</v>
      </c>
      <c r="AN18" s="267">
        <f>IF(ISNUMBER('Resol  Asuntos'!D18/NºAsuntos!G18),'Resol  Asuntos'!D18/NºAsuntos!G18," - ")</f>
        <v>0.45454545454545453</v>
      </c>
      <c r="AO18" s="268">
        <f>IF(ISNUMBER((NºAsuntos!C18+NºAsuntos!E18)/NºAsuntos!G18),(NºAsuntos!C18+NºAsuntos!E18)/NºAsuntos!G18," - ")</f>
        <v>2.1818181818181817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417</v>
      </c>
      <c r="G23" s="1163">
        <f>SUBTOTAL(9,G16:G22)</f>
        <v>424</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v>
      </c>
      <c r="X23" s="1164">
        <f t="shared" si="14"/>
        <v>6</v>
      </c>
      <c r="Y23" s="1165">
        <f t="shared" si="14"/>
        <v>223</v>
      </c>
      <c r="Z23" s="1165">
        <f t="shared" si="14"/>
        <v>0</v>
      </c>
      <c r="AA23" s="1165">
        <f t="shared" si="14"/>
        <v>414</v>
      </c>
      <c r="AB23" s="1165">
        <f t="shared" si="14"/>
        <v>16</v>
      </c>
      <c r="AC23" s="1165">
        <f t="shared" si="14"/>
        <v>430</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1.0742574257425743</v>
      </c>
      <c r="AM23" s="1171">
        <f>IF(ISNUMBER(((NºAsuntos!I23/NºAsuntos!G23)*11)/factor_trimestre),((NºAsuntos!I23/NºAsuntos!G23)*11)/factor_trimestre," - ")</f>
        <v>5.7235023041474662</v>
      </c>
      <c r="AN23" s="1172">
        <f>IF(ISNUMBER('Resol  Asuntos'!D23/NºAsuntos!G23),'Resol  Asuntos'!D23/NºAsuntos!G23," - ")</f>
        <v>0.22580645161290322</v>
      </c>
      <c r="AO23" s="1173">
        <f>IF(ISNUMBER((NºAsuntos!C23+NºAsuntos!E23)/NºAsuntos!G23),(NºAsuntos!C23+NºAsuntos!E23)/NºAsuntos!G23," - ")</f>
        <v>2.8847926267281108</v>
      </c>
      <c r="AP23" s="1174" t="str">
        <f t="shared" si="2"/>
        <v xml:space="preserve"> - </v>
      </c>
      <c r="AQ23" s="1174">
        <f>IF(ISNUMBER((H23-W23+K23)/(F23)),(H23-W23+K23)/(F23)," - ")</f>
        <v>-0.52038369304556353</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425</v>
      </c>
      <c r="G31" s="1118">
        <f t="shared" si="20"/>
        <v>432</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220</v>
      </c>
      <c r="X31" s="1118">
        <f t="shared" si="21"/>
        <v>123</v>
      </c>
      <c r="Y31" s="1125">
        <f t="shared" si="21"/>
        <v>343</v>
      </c>
      <c r="Z31" s="1125">
        <f t="shared" si="21"/>
        <v>0</v>
      </c>
      <c r="AA31" s="1125">
        <f t="shared" si="21"/>
        <v>420</v>
      </c>
      <c r="AB31" s="1125">
        <f t="shared" si="21"/>
        <v>730</v>
      </c>
      <c r="AC31" s="1125">
        <f t="shared" si="21"/>
        <v>438</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1.1304347826086956</v>
      </c>
      <c r="AM31" s="1184">
        <f>IF(ISNUMBER(((NºAsuntos!I31/NºAsuntos!G31)*11)/factor_trimestre),((NºAsuntos!I31/NºAsuntos!G31)*11)/factor_trimestre," - ")</f>
        <v>6.0769230769230766</v>
      </c>
      <c r="AN31" s="1184">
        <f>IF(ISNUMBER('Resol  Asuntos'!D31/NºAsuntos!G31),'Resol  Asuntos'!D31/NºAsuntos!G31," - ")</f>
        <v>0.18974358974358974</v>
      </c>
      <c r="AO31" s="1185">
        <f>IF(ISNUMBER((NºAsuntos!C31+NºAsuntos!E31)/NºAsuntos!G31),(NºAsuntos!C31+NºAsuntos!E31)/NºAsuntos!G31," - ")</f>
        <v>3.0128205128205128</v>
      </c>
      <c r="AP31" s="1186" t="str">
        <f t="shared" si="2"/>
        <v xml:space="preserve"> - </v>
      </c>
      <c r="AQ31" s="1187">
        <f>IF(OR(ISNUMBER(FIND("01",Criterios!A8,1)),ISNUMBER(FIND("02",Criterios!A8,1)),ISNUMBER(FIND("03",Criterios!A8,1)),ISNUMBER(FIND("04",Criterios!A8,1))),(I31-W31+K31)/(F31-K31),(H31-W31+K31)/(F31-K31))</f>
        <v>-0.51764705882352946</v>
      </c>
      <c r="AR31" s="1188">
        <f>IF(ISNUMBER((Datos!P31-Datos!Q31)/(Datos!R31-Datos!P31+Datos!Q31)),(Datos!P31-Datos!Q31)/(Datos!R31-Datos!P31+Datos!Q31)," - ")</f>
        <v>-0.10098522167487685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213.30228940793546</v>
      </c>
      <c r="G33" s="277">
        <f>IF(ISNUMBER(STDEV(G8:G30)),STDEV(G8:G30),"-")</f>
        <v>201.63982505353215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101.6586257553986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20.262562241025407</v>
      </c>
      <c r="AJ33" s="276">
        <f t="shared" si="25"/>
        <v>0</v>
      </c>
      <c r="AK33" s="278">
        <f t="shared" si="25"/>
        <v>0</v>
      </c>
      <c r="AL33" s="273">
        <f t="shared" si="25"/>
        <v>0.79325292173044282</v>
      </c>
      <c r="AM33" s="274">
        <f t="shared" si="25"/>
        <v>1.0000363798162766</v>
      </c>
      <c r="AN33" s="274">
        <f t="shared" si="25"/>
        <v>0.14932593915613629</v>
      </c>
      <c r="AO33" s="275">
        <f t="shared" si="25"/>
        <v>0.36798925624806345</v>
      </c>
      <c r="AP33" s="317" t="str">
        <f t="shared" si="25"/>
        <v>-</v>
      </c>
      <c r="AQ33" s="318">
        <f t="shared" si="25"/>
        <v>0.10280179522646139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fr44jHTGOK1Oxknw0IYqGmLS8HXjUeCeLkEZyXng2BleJnn9SCQH7d6zLmAAzFE9TP4SV3jTw56PauAFV0Szg==" saltValue="D4DXxFlSPJRS8xZwup9E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SEBASTIAN DE LA GOMERA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-0.5</v>
      </c>
      <c r="F10" s="393">
        <f>IF(ISNUMBER((Datos!K10-Datos!U10)/Datos!U10),(Datos!K10-Datos!U10)/Datos!U10," - ")</f>
        <v>2</v>
      </c>
      <c r="G10" s="394">
        <f>IF(ISNUMBER((Datos!L10-Datos!V10)/Datos!V10),(Datos!L10-Datos!V10)/Datos!V10," - ")</f>
        <v>-0.14285714285714285</v>
      </c>
      <c r="H10" s="244">
        <f>IF(ISNUMBER((Datos!M10-Datos!W10)/Datos!W10),(Datos!M10-Datos!W10)/Datos!W10," - ")</f>
        <v>-1</v>
      </c>
      <c r="I10" s="395">
        <f>IF(ISNUMBER((Tasas!C10-Datos!BE10)/Datos!BE10),(Tasas!C10-Datos!BE10)/Datos!BE10," - ")</f>
        <v>-0.7142857142857143</v>
      </c>
      <c r="J10" s="394">
        <f>IF(ISNUMBER((Tasas!D10-Datos!BF10)/Datos!BF10),(Tasas!D10-Datos!BF10)/Datos!BF10," - ")</f>
        <v>-1</v>
      </c>
      <c r="K10" s="396">
        <f>IF(ISNUMBER((Tasas!E10-Datos!BG10)/Datos!BG10),(Tasas!E10-Datos!BG10)/Datos!BG10," - ")</f>
        <v>-0.625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-0.13793103448275862</v>
      </c>
      <c r="I12" s="395">
        <f>IF(ISNUMBER((Tasas!C12-Datos!BE12)/Datos!BE12),(Tasas!C12-Datos!BE12)/Datos!BE12," - ")</f>
        <v>0.29633044440346668</v>
      </c>
      <c r="J12" s="394">
        <f>IF(ISNUMBER((Tasas!D12-Datos!BF12)/Datos!BF12),(Tasas!D12-Datos!BF12)/Datos!BF12," - ")</f>
        <v>-0.61724415793714738</v>
      </c>
      <c r="K12" s="396">
        <f>IF(ISNUMBER((Tasas!E12-Datos!BG12)/Datos!BG12),(Tasas!E12-Datos!BG12)/Datos!BG12," - ")</f>
        <v>0.18571593666936312</v>
      </c>
      <c r="M12" t="e">
        <f>IF(Monitorios="SI",Datos!CE12,0)</f>
        <v>#REF!</v>
      </c>
      <c r="N12" t="e">
        <f>IF(Monitorios="SI",Datos!CF12,0)</f>
        <v>#REF!</v>
      </c>
      <c r="O12" t="e">
        <f>IF(Monitorios="SI",Datos!CG12,0)</f>
        <v>#REF!</v>
      </c>
      <c r="P12" t="e">
        <f>IF(Monitorios="SI",Datos!CH12,0)</f>
        <v>#REF!</v>
      </c>
      <c r="Q12">
        <f>IF(J_V="SI",0,Datos!AG12)</f>
        <v>16</v>
      </c>
      <c r="R12">
        <f>IF(J_V="SI",0,Datos!AH12)</f>
        <v>17</v>
      </c>
      <c r="S12">
        <f>IF(J_V="SI",0,Datos!AI12)</f>
        <v>14</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0.27337848859888642</v>
      </c>
      <c r="J14" s="400">
        <f>IF(ISNUMBER((Tasas!D14-Datos!BF14)/Datos!BF14),(Tasas!D14-Datos!BF14)/Datos!BF14," - ")</f>
        <v>-0.62701140446805181</v>
      </c>
      <c r="K14" s="403">
        <f>IF(ISNUMBER((Tasas!E14-Datos!BG14)/Datos!BG14),(Tasas!E14-Datos!BG14)/Datos!BG14," - ")</f>
        <v>0.17238179358459754</v>
      </c>
      <c r="M14" t="e">
        <f>IF(Monitorios="SI",Datos!CE14,0)</f>
        <v>#REF!</v>
      </c>
      <c r="N14" t="e">
        <f>IF(Monitorios="SI",Datos!CF14,0)</f>
        <v>#REF!</v>
      </c>
      <c r="O14" t="e">
        <f>IF(Monitorios="SI",Datos!CG14,0)</f>
        <v>#REF!</v>
      </c>
      <c r="P14" t="e">
        <f>IF(Monitorios="SI",Datos!CH14,0)</f>
        <v>#REF!</v>
      </c>
      <c r="Q14">
        <f>IF(J_V="SI",0,Datos!AG14)</f>
        <v>16</v>
      </c>
      <c r="R14">
        <f>IF(J_V="SI",0,Datos!AH14)</f>
        <v>17</v>
      </c>
      <c r="S14">
        <f>IF(J_V="SI",0,Datos!AI14)</f>
        <v>14</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-3.5046728971962614E-2</v>
      </c>
      <c r="E17" s="393">
        <f>IF(ISNUMBER(
   IF(D_I="SI",(Datos!J17-Datos!T17)/Datos!T17,(Datos!J17+Datos!AD17-(Datos!T17+Datos!AL17))/(Datos!T17+Datos!AL17))
     ),IF(D_I="SI",(Datos!J17-Datos!T17)/Datos!T17,(Datos!J17+Datos!AD17-(Datos!T17+Datos!AL17))/(Datos!T17+Datos!AL17))," - ")</f>
        <v>0.21153846153846154</v>
      </c>
      <c r="F17" s="393">
        <f>IF(ISNUMBER(
   IF(D_I="SI",(Datos!K17-Datos!U17)/Datos!U17,(Datos!K17+Datos!AE17-(Datos!U17+Datos!AM17))/(Datos!U17+Datos!AM17))
     ),IF(D_I="SI",(Datos!K17-Datos!U17)/Datos!U17,(Datos!K17+Datos!AE17-(Datos!U17+Datos!AM17))/(Datos!U17+Datos!AM17))," - ")</f>
        <v>0.40136054421768708</v>
      </c>
      <c r="G17" s="394">
        <f>IF(ISNUMBER(
   IF(D_I="SI",(Datos!L17-Datos!V17)/Datos!V17,(Datos!L17+Datos!AF17-(Datos!V17+Datos!AN17))/(Datos!V17+Datos!AN17))
     ),IF(D_I="SI",(Datos!L17-Datos!V17)/Datos!V17,(Datos!L17+Datos!AF17-(Datos!V17+Datos!AN17))/(Datos!V17+Datos!AN17))," - ")</f>
        <v>-8.4668192219679639E-2</v>
      </c>
      <c r="H17" s="244">
        <f>IF(ISNUMBER((Datos!M17-Datos!W17)/Datos!W17),(Datos!M17-Datos!W17)/Datos!W17," - ")</f>
        <v>2.6666666666666665</v>
      </c>
      <c r="I17" s="395">
        <f>IF(ISNUMBER((Tasas!C17-Datos!BE17)/Datos!BE17),(Tasas!C17-Datos!BE17)/Datos!BE17," - ")</f>
        <v>-0.3468263313412277</v>
      </c>
      <c r="J17" s="394">
        <f>IF(ISNUMBER((Tasas!D17-Datos!BF17)/Datos!BF17),(Tasas!D17-Datos!BF17)/Datos!BF17," - ")</f>
        <v>1.616504854368932</v>
      </c>
      <c r="K17" s="396">
        <f>IF(ISNUMBER((Tasas!E17-Datos!BG17)/Datos!BG17),(Tasas!E17-Datos!BG17)/Datos!BG17," - ")</f>
        <v>-0.26441348583588242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-0.3125</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0.66666666666666663</v>
      </c>
      <c r="I18" s="395">
        <f>IF(ISNUMBER((Tasas!C18-Datos!BE18)/Datos!BE18),(Tasas!C18-Datos!BE18)/Datos!BE18," - ")</f>
        <v>-0.12500000000000003</v>
      </c>
      <c r="J18" s="394">
        <f>IF(ISNUMBER((Tasas!D18-Datos!BF18)/Datos!BF18),(Tasas!D18-Datos!BF18)/Datos!BF18," - ")</f>
        <v>0.66666666666666674</v>
      </c>
      <c r="K18" s="396">
        <f>IF(ISNUMBER((Tasas!E18-Datos!BG18)/Datos!BG18),(Tasas!E18-Datos!BG18)/Datos!BG18," - ")</f>
        <v>-0.11111111111111119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-4.5045045045045043E-2</v>
      </c>
      <c r="E23" s="399">
        <f>IF(ISNUMBER(
   IF(D_I="SI",(Datos!J23-Datos!T23)/Datos!T23,(Datos!J23+Datos!AD23-(Datos!T23+Datos!AL23))/(Datos!T23+Datos!AL23))
     ),IF(D_I="SI",(Datos!J23-Datos!T23)/Datos!T23,(Datos!J23+Datos!AD23-(Datos!T23+Datos!AL23))/(Datos!T23+Datos!AL23))," - ")</f>
        <v>0.20958083832335328</v>
      </c>
      <c r="F23" s="399">
        <f>IF(ISNUMBER(
   IF(D_I="SI",(Datos!K23-Datos!U23)/Datos!U23,(Datos!K23+Datos!AE23-(Datos!U23+Datos!AM23))/(Datos!U23+Datos!AM23))
     ),IF(D_I="SI",(Datos!K23-Datos!U23)/Datos!U23,(Datos!K23+Datos!AE23-(Datos!U23+Datos!AM23))/(Datos!U23+Datos!AM23))," - ")</f>
        <v>0.37341772151898733</v>
      </c>
      <c r="G23" s="400">
        <f>IF(ISNUMBER(
   IF(D_I="SI",(Datos!L23-Datos!V23)/Datos!V23,(Datos!L23+Datos!AF23-(Datos!V23+Datos!AN23))/(Datos!V23+Datos!AN23))
     ),IF(D_I="SI",(Datos!L23-Datos!V23)/Datos!V23,(Datos!L23+Datos!AF23-(Datos!V23+Datos!AN23))/(Datos!V23+Datos!AN23))," - ")</f>
        <v>-8.6092715231788075E-2</v>
      </c>
      <c r="H23" s="401">
        <f>IF(ISNUMBER((Datos!M23-Datos!W23)/Datos!W23),(Datos!M23-Datos!W23)/Datos!W23," - ")</f>
        <v>2.2666666666666666</v>
      </c>
      <c r="I23" s="402">
        <f>IF(ISNUMBER((Tasas!C23-Datos!BE23)/Datos!BE23),(Tasas!C23-Datos!BE23)/Datos!BE23," - ")</f>
        <v>-0.33457441938535726</v>
      </c>
      <c r="J23" s="400">
        <f>IF(ISNUMBER((Tasas!D23-Datos!BF23)/Datos!BF23),(Tasas!D23-Datos!BF23)/Datos!BF23," - ")</f>
        <v>1.3784946236559137</v>
      </c>
      <c r="K23" s="403">
        <f>IF(ISNUMBER((Tasas!E23-Datos!BG23)/Datos!BG23),(Tasas!E23-Datos!BG23)/Datos!BG23," - ")</f>
        <v>-0.25401434529780448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5.5979643765903309E-2</v>
      </c>
      <c r="E31" s="409">
        <f>IF(ISNUMBER(
   IF(J_V="SI",(Datos!J31-Datos!T31)/Datos!T31,(Datos!J31+Datos!Z31-(Datos!T31+Datos!AH31))/(Datos!T31+Datos!AH31))
     ),IF(J_V="SI",(Datos!J31-Datos!T31)/Datos!T31,(Datos!J31+Datos!Z31-(Datos!T31+Datos!AH31))/(Datos!T31+Datos!AH31))," - ")</f>
        <v>8.771929824561403E-3</v>
      </c>
      <c r="F31" s="409">
        <f>IF(ISNUMBER(
   IF(J_V="SI",(Datos!K31-Datos!U31)/Datos!U31,(Datos!K31+Datos!AA31-(Datos!U31+Datos!AI31))/(Datos!U31+Datos!AI31))
     ),IF(J_V="SI",(Datos!K31-Datos!U31)/Datos!U31,(Datos!K31+Datos!AA31-(Datos!U31+Datos!AI31))/(Datos!U31+Datos!AI31))," - ")</f>
        <v>0.1174785100286533</v>
      </c>
      <c r="G31" s="410">
        <f>IF(ISNUMBER(
   IF(J_V="SI",(Datos!L31-Datos!V31)/Datos!V31,(Datos!L31+Datos!AB31-(Datos!V31+Datos!AJ31))/(Datos!V31+Datos!AJ31))
     ),IF(J_V="SI",(Datos!L31-Datos!V31)/Datos!V31,(Datos!L31+Datos!AB31-(Datos!V31+Datos!AJ31))/(Datos!V31+Datos!AJ31))," - ")</f>
        <v>1.4120667522464698E-2</v>
      </c>
      <c r="H31" s="411">
        <f>IF(ISNUMBER((Datos!M31-Datos!W31)/Datos!W31),(Datos!M31-Datos!W31)/Datos!W31," - ")</f>
        <v>0.64444444444444449</v>
      </c>
      <c r="I31" s="408">
        <f>IF(ISNUMBER((Tasas!C31-Datos!BE31)/Datos!BE31),(Tasas!C31-Datos!BE31)/Datos!BE31," - ")</f>
        <v>-9.2492018037589399E-2</v>
      </c>
      <c r="J31" s="409">
        <f>IF(ISNUMBER((Tasas!D31-Datos!BF31)/Datos!BF31),(Tasas!D31-Datos!BF31)/Datos!BF31," - ")</f>
        <v>-0.25594929415154133</v>
      </c>
      <c r="K31" s="410">
        <f>IF(ISNUMBER((Tasas!E31-Datos!BG31)/Datos!BG31),(Tasas!E31-Datos!BG31)/Datos!BG31," - ")</f>
        <v>-6.784188034188042E-2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0.26529656343281843</v>
      </c>
      <c r="E33" s="303">
        <f t="shared" si="1"/>
        <v>0.35075227177139956</v>
      </c>
      <c r="F33" s="303">
        <f t="shared" si="1"/>
        <v>0.8898843511374559</v>
      </c>
      <c r="G33" s="304">
        <f t="shared" si="1"/>
        <v>2.8967643678794359E-2</v>
      </c>
      <c r="H33" s="310">
        <f t="shared" si="1"/>
        <v>1.4604832029085073</v>
      </c>
      <c r="I33" s="302">
        <f t="shared" si="1"/>
        <v>0.39239744658419901</v>
      </c>
      <c r="J33" s="303">
        <f t="shared" si="1"/>
        <v>1.1311119609896001</v>
      </c>
      <c r="K33" s="304">
        <f t="shared" si="1"/>
        <v>0.30583651697852843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7Y+A99dU3c1nR/GLTknMA8jgQI5pFBJhfh+Kce/x7tT6/UTtvctGDSEdLhSMHPVjcg5vopoSht2K2EBynsqA==" saltValue="2AQCoK17sELObCxKMDvA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